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5 Ejec.POA" sheetId="321" r:id="rId1"/>
  </sheets>
  <definedNames>
    <definedName name="_xlnm._FilterDatabase" localSheetId="0" hidden="1">'N5 Ejec.POA'!$AC$16:$AC$32</definedName>
    <definedName name="_xlnm.Print_Area" localSheetId="0">'N5 Ejec.POA'!$B$1:$AC$32</definedName>
    <definedName name="_xlnm.Print_Titles" localSheetId="0">'N5 Ejec.POA'!$1:$1</definedName>
  </definedNames>
  <calcPr calcId="152511"/>
</workbook>
</file>

<file path=xl/calcChain.xml><?xml version="1.0" encoding="utf-8"?>
<calcChain xmlns="http://schemas.openxmlformats.org/spreadsheetml/2006/main">
  <c r="Z31" i="321"/>
  <c r="AA31" s="1"/>
  <c r="Y31"/>
  <c r="T31"/>
  <c r="O31"/>
  <c r="Z30"/>
  <c r="AA30" s="1"/>
  <c r="Y30"/>
  <c r="T30"/>
  <c r="O30"/>
  <c r="Y29"/>
  <c r="T29"/>
  <c r="O29"/>
  <c r="Z29" s="1"/>
  <c r="AA29" s="1"/>
  <c r="Y28"/>
  <c r="Z28" s="1"/>
  <c r="AA28" s="1"/>
  <c r="T28"/>
  <c r="O28"/>
  <c r="Y27"/>
  <c r="T27"/>
  <c r="O27"/>
  <c r="Z27" s="1"/>
  <c r="AA27" s="1"/>
  <c r="X26"/>
  <c r="W26"/>
  <c r="V26"/>
  <c r="U26"/>
  <c r="Y26" s="1"/>
  <c r="S26"/>
  <c r="T26" s="1"/>
  <c r="R26"/>
  <c r="Q26"/>
  <c r="P26"/>
  <c r="N26"/>
  <c r="M26"/>
  <c r="L26"/>
  <c r="O26" s="1"/>
  <c r="Y25"/>
  <c r="T25"/>
  <c r="P25"/>
  <c r="N25"/>
  <c r="M25"/>
  <c r="L25"/>
  <c r="O25" s="1"/>
  <c r="Z25" s="1"/>
  <c r="AA25" s="1"/>
  <c r="K25"/>
  <c r="Y24"/>
  <c r="T24"/>
  <c r="Z24" s="1"/>
  <c r="AA24" s="1"/>
  <c r="O24"/>
  <c r="Z23"/>
  <c r="AA23" s="1"/>
  <c r="Y23"/>
  <c r="T23"/>
  <c r="O23"/>
  <c r="W22"/>
  <c r="U22"/>
  <c r="Y22" s="1"/>
  <c r="S22"/>
  <c r="Q22"/>
  <c r="T22" s="1"/>
  <c r="P22"/>
  <c r="N22"/>
  <c r="L22"/>
  <c r="K22"/>
  <c r="O22" s="1"/>
  <c r="Z22" s="1"/>
  <c r="AA22" s="1"/>
  <c r="Y21"/>
  <c r="V21"/>
  <c r="T21"/>
  <c r="O21"/>
  <c r="Z21" s="1"/>
  <c r="AA21" s="1"/>
  <c r="Z20"/>
  <c r="AA20" s="1"/>
  <c r="Y20"/>
  <c r="T20"/>
  <c r="O20"/>
  <c r="AD19"/>
  <c r="Y19"/>
  <c r="T19"/>
  <c r="O19"/>
  <c r="Z19" s="1"/>
  <c r="AA19" s="1"/>
  <c r="AD18"/>
  <c r="Y18"/>
  <c r="Y16" s="1"/>
  <c r="R18"/>
  <c r="Q18"/>
  <c r="Q16" s="1"/>
  <c r="P18"/>
  <c r="T18" s="1"/>
  <c r="N18"/>
  <c r="M18"/>
  <c r="L18"/>
  <c r="L16" s="1"/>
  <c r="K18"/>
  <c r="O18" s="1"/>
  <c r="J18"/>
  <c r="Y17"/>
  <c r="T17"/>
  <c r="Z17" s="1"/>
  <c r="AA17" s="1"/>
  <c r="O17"/>
  <c r="J17"/>
  <c r="AD16"/>
  <c r="X16"/>
  <c r="W16"/>
  <c r="V16"/>
  <c r="U16"/>
  <c r="S16"/>
  <c r="R16"/>
  <c r="P16"/>
  <c r="N16"/>
  <c r="M16"/>
  <c r="K16"/>
  <c r="J16"/>
  <c r="I16"/>
  <c r="O16" l="1"/>
  <c r="Z18"/>
  <c r="AA18" s="1"/>
  <c r="Z26"/>
  <c r="AA26" s="1"/>
  <c r="T16"/>
  <c r="Z16" l="1"/>
  <c r="AA16" s="1"/>
</calcChain>
</file>

<file path=xl/sharedStrings.xml><?xml version="1.0" encoding="utf-8"?>
<sst xmlns="http://schemas.openxmlformats.org/spreadsheetml/2006/main" count="112" uniqueCount="77">
  <si>
    <t>No.</t>
  </si>
  <si>
    <t xml:space="preserve">SEGUIMIENTO MENSUAL Y CUATRIMESTRAL  DE EJECUCIÓN DE METAS FÍSICAS 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</si>
  <si>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</si>
  <si>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</si>
  <si>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</si>
  <si>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</si>
  <si>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</si>
  <si>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</si>
  <si>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</si>
  <si>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</si>
  <si>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</si>
  <si>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</si>
  <si>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</si>
  <si>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</si>
  <si>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</si>
  <si>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</si>
  <si>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</si>
  <si>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</si>
  <si>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</si>
  <si>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</si>
  <si>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</si>
  <si>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</si>
  <si>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</si>
  <si>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</si>
  <si>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</si>
  <si>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</si>
  <si>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</si>
  <si>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</si>
  <si>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</si>
  <si>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</si>
  <si>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</si>
  <si>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</si>
  <si>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</si>
  <si>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</si>
  <si>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</si>
  <si>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</si>
  <si>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</si>
  <si>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</si>
  <si>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</si>
  <si>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</si>
  <si>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</si>
  <si>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</si>
  <si>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</si>
  <si>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</si>
  <si>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</si>
  <si>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</si>
  <si>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</si>
  <si>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</si>
  <si>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</si>
  <si>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</si>
  <si>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</si>
  <si>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</si>
  <si>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</si>
  <si>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</si>
  <si>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</si>
  <si>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</si>
  <si>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</si>
  <si>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</si>
  <si>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</si>
  <si>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</si>
  <si>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t>Certificados, normas y registros emitidos a entidades privadas, públicas y académicas para promover la adopción de prácticas de gestión de la calidad</t>
  </si>
  <si>
    <t>Certificados de acreditación de laboratorios de ensayo y calibración, análisis clínicos a organismos de inspección y certificación</t>
  </si>
  <si>
    <t>Certificados e informes de calibración para beneficio de entidades públicas, privadas y académicas</t>
  </si>
  <si>
    <t>Certificados y normas técnicas adoptadas y elaboradas para beneficio de entidades públicas, privadas y académicas</t>
  </si>
  <si>
    <t xml:space="preserve">        MINISTERIO DE ECONOMÍA 
MATRIZ DE PLANIFICACIÓN,  POA 2024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</si>
  <si>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</si>
  <si>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</si>
  <si>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Para el 2025, se ha incrementado en 10.0% la inversión extranjera directa al país, por la mejora del clima de negocios y las condiciones de competitividad a nivel nacional (Línea base de US$ 976.1 millones en 2019 a US$ 1,073.7 en 2025)</t>
  </si>
  <si>
    <t>Tasa de crecimiento de la  Inversión Extranjera Directa</t>
  </si>
  <si>
    <t>EJECUCIÓN MENSUAL, CUATRIMESTRAL Y ANUAL,  POA 2024</t>
  </si>
  <si>
    <t>PRESUPUESTO VIGENTE 2024      EN  Q.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</si>
  <si>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</si>
  <si>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</si>
  <si>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</si>
  <si>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PRESUPUESTO APROBADO DECRETO 54-2022 PARA EL EJERCICIO FISCAL 2023, VIGENTE PARA EL AÑO 2024.</t>
  </si>
  <si>
    <t>0</t>
  </si>
  <si>
    <t>1</t>
  </si>
</sst>
</file>

<file path=xl/styles.xml><?xml version="1.0" encoding="utf-8"?>
<styleSheet xmlns="http://schemas.openxmlformats.org/spreadsheetml/2006/main">
  <numFmts count="1">
    <numFmt numFmtId="167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8" fillId="0" borderId="0">
      <alignment vertical="top"/>
    </xf>
    <xf numFmtId="0" fontId="29" fillId="0" borderId="0">
      <alignment vertical="top"/>
    </xf>
    <xf numFmtId="0" fontId="30" fillId="0" borderId="0">
      <alignment vertical="top"/>
    </xf>
    <xf numFmtId="0" fontId="33" fillId="0" borderId="0">
      <alignment vertical="top"/>
    </xf>
  </cellStyleXfs>
  <cellXfs count="111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2" xfId="4" applyFont="1" applyFill="1" applyBorder="1" applyAlignment="1">
      <alignment vertical="center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2" fillId="12" borderId="8" xfId="4" applyFont="1" applyFill="1" applyBorder="1" applyAlignment="1">
      <alignment horizontal="left" vertical="center" wrapText="1"/>
    </xf>
    <xf numFmtId="0" fontId="10" fillId="3" borderId="8" xfId="4" applyFont="1" applyFill="1" applyBorder="1" applyAlignment="1">
      <alignment vertical="center" wrapText="1"/>
    </xf>
    <xf numFmtId="0" fontId="14" fillId="0" borderId="8" xfId="5" applyFont="1" applyFill="1" applyBorder="1" applyAlignment="1">
      <alignment vertical="center"/>
    </xf>
    <xf numFmtId="0" fontId="14" fillId="4" borderId="8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vertical="center"/>
    </xf>
    <xf numFmtId="0" fontId="16" fillId="9" borderId="8" xfId="5" applyFont="1" applyFill="1" applyBorder="1" applyAlignment="1">
      <alignment vertical="center"/>
    </xf>
    <xf numFmtId="0" fontId="14" fillId="4" borderId="8" xfId="5" applyFont="1" applyFill="1" applyBorder="1" applyAlignment="1">
      <alignment horizontal="center" vertical="center" wrapText="1"/>
    </xf>
    <xf numFmtId="0" fontId="17" fillId="7" borderId="8" xfId="4" applyFont="1" applyFill="1" applyBorder="1" applyAlignment="1">
      <alignment horizontal="center" vertical="center" wrapText="1"/>
    </xf>
    <xf numFmtId="0" fontId="18" fillId="7" borderId="8" xfId="4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top" wrapText="1"/>
    </xf>
    <xf numFmtId="0" fontId="2" fillId="0" borderId="8" xfId="4" applyBorder="1"/>
    <xf numFmtId="0" fontId="2" fillId="4" borderId="8" xfId="4" applyFill="1" applyBorder="1"/>
    <xf numFmtId="0" fontId="19" fillId="4" borderId="8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20" fillId="4" borderId="8" xfId="4" applyFont="1" applyFill="1" applyBorder="1" applyAlignment="1">
      <alignment horizontal="center" vertical="top" wrapText="1"/>
    </xf>
    <xf numFmtId="0" fontId="10" fillId="9" borderId="8" xfId="0" applyFont="1" applyFill="1" applyBorder="1" applyAlignment="1">
      <alignment horizontal="center" vertical="top"/>
    </xf>
    <xf numFmtId="9" fontId="20" fillId="4" borderId="8" xfId="4" applyNumberFormat="1" applyFont="1" applyFill="1" applyBorder="1" applyAlignment="1">
      <alignment horizontal="center" vertical="top" wrapText="1"/>
    </xf>
    <xf numFmtId="4" fontId="20" fillId="4" borderId="8" xfId="4" applyNumberFormat="1" applyFont="1" applyFill="1" applyBorder="1" applyAlignment="1">
      <alignment horizontal="center" vertical="top" wrapText="1"/>
    </xf>
    <xf numFmtId="0" fontId="21" fillId="10" borderId="8" xfId="4" applyFont="1" applyFill="1" applyBorder="1" applyAlignment="1">
      <alignment horizontal="center" vertical="top" wrapText="1"/>
    </xf>
    <xf numFmtId="0" fontId="21" fillId="2" borderId="8" xfId="4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top" wrapText="1"/>
    </xf>
    <xf numFmtId="0" fontId="22" fillId="4" borderId="8" xfId="0" applyFont="1" applyFill="1" applyBorder="1" applyAlignment="1">
      <alignment horizontal="justify" vertical="top" wrapText="1"/>
    </xf>
    <xf numFmtId="0" fontId="20" fillId="0" borderId="8" xfId="4" applyNumberFormat="1" applyFont="1" applyFill="1" applyBorder="1" applyAlignment="1">
      <alignment horizontal="center" vertical="top" wrapText="1"/>
    </xf>
    <xf numFmtId="4" fontId="10" fillId="4" borderId="8" xfId="4" applyNumberFormat="1" applyFont="1" applyFill="1" applyBorder="1" applyAlignment="1">
      <alignment horizontal="center" vertical="top" wrapText="1"/>
    </xf>
    <xf numFmtId="0" fontId="20" fillId="0" borderId="8" xfId="4" applyFont="1" applyFill="1" applyBorder="1" applyAlignment="1">
      <alignment horizontal="center" vertical="top" wrapText="1"/>
    </xf>
    <xf numFmtId="0" fontId="22" fillId="4" borderId="8" xfId="0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/>
    </xf>
    <xf numFmtId="0" fontId="24" fillId="0" borderId="8" xfId="0" applyFont="1" applyFill="1" applyBorder="1" applyAlignment="1">
      <alignment horizontal="center" vertical="top"/>
    </xf>
    <xf numFmtId="0" fontId="25" fillId="4" borderId="8" xfId="4" applyFont="1" applyFill="1" applyBorder="1" applyAlignment="1">
      <alignment horizontal="center" vertical="top" wrapText="1"/>
    </xf>
    <xf numFmtId="0" fontId="24" fillId="9" borderId="8" xfId="0" applyFont="1" applyFill="1" applyBorder="1" applyAlignment="1">
      <alignment horizontal="center" vertical="top"/>
    </xf>
    <xf numFmtId="9" fontId="25" fillId="4" borderId="8" xfId="4" applyNumberFormat="1" applyFont="1" applyFill="1" applyBorder="1" applyAlignment="1">
      <alignment horizontal="center" vertical="top" wrapText="1"/>
    </xf>
    <xf numFmtId="4" fontId="25" fillId="4" borderId="8" xfId="4" applyNumberFormat="1" applyFont="1" applyFill="1" applyBorder="1" applyAlignment="1">
      <alignment vertical="top" wrapText="1"/>
    </xf>
    <xf numFmtId="0" fontId="24" fillId="4" borderId="8" xfId="6" applyFont="1" applyFill="1" applyBorder="1" applyAlignment="1">
      <alignment horizontal="justify" vertical="top" wrapText="1"/>
    </xf>
    <xf numFmtId="3" fontId="25" fillId="4" borderId="8" xfId="4" applyNumberFormat="1" applyFont="1" applyFill="1" applyBorder="1" applyAlignment="1">
      <alignment horizontal="center" vertical="top" wrapText="1"/>
    </xf>
    <xf numFmtId="3" fontId="26" fillId="4" borderId="8" xfId="4" applyNumberFormat="1" applyFont="1" applyFill="1" applyBorder="1" applyAlignment="1">
      <alignment horizontal="center" vertical="top" wrapText="1"/>
    </xf>
    <xf numFmtId="3" fontId="24" fillId="4" borderId="8" xfId="0" applyNumberFormat="1" applyFont="1" applyFill="1" applyBorder="1" applyAlignment="1">
      <alignment horizontal="center" vertical="top"/>
    </xf>
    <xf numFmtId="9" fontId="24" fillId="4" borderId="8" xfId="4" applyNumberFormat="1" applyFont="1" applyFill="1" applyBorder="1" applyAlignment="1">
      <alignment horizontal="center" vertical="top" wrapText="1"/>
    </xf>
    <xf numFmtId="167" fontId="24" fillId="4" borderId="8" xfId="7" applyFont="1" applyFill="1" applyBorder="1" applyAlignment="1">
      <alignment horizontal="justify" vertical="top" wrapText="1"/>
    </xf>
    <xf numFmtId="0" fontId="25" fillId="0" borderId="8" xfId="4" applyFont="1" applyFill="1" applyBorder="1" applyAlignment="1">
      <alignment horizontal="center" vertical="top" wrapText="1"/>
    </xf>
    <xf numFmtId="0" fontId="24" fillId="0" borderId="8" xfId="0" applyNumberFormat="1" applyFont="1" applyFill="1" applyBorder="1" applyAlignment="1">
      <alignment horizontal="center" vertical="top"/>
    </xf>
    <xf numFmtId="49" fontId="25" fillId="4" borderId="8" xfId="4" applyNumberFormat="1" applyFont="1" applyFill="1" applyBorder="1" applyAlignment="1">
      <alignment horizontal="center" vertical="top" wrapText="1"/>
    </xf>
    <xf numFmtId="0" fontId="27" fillId="7" borderId="8" xfId="4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top"/>
    </xf>
    <xf numFmtId="49" fontId="10" fillId="9" borderId="8" xfId="0" applyNumberFormat="1" applyFont="1" applyFill="1" applyBorder="1" applyAlignment="1">
      <alignment horizontal="center" vertical="top"/>
    </xf>
    <xf numFmtId="0" fontId="24" fillId="9" borderId="8" xfId="0" applyNumberFormat="1" applyFont="1" applyFill="1" applyBorder="1" applyAlignment="1">
      <alignment horizontal="center" vertical="top" wrapText="1"/>
    </xf>
    <xf numFmtId="49" fontId="24" fillId="9" borderId="8" xfId="0" applyNumberFormat="1" applyFont="1" applyFill="1" applyBorder="1" applyAlignment="1">
      <alignment horizontal="center" vertical="top" wrapText="1"/>
    </xf>
    <xf numFmtId="49" fontId="24" fillId="0" borderId="8" xfId="0" applyNumberFormat="1" applyFont="1" applyFill="1" applyBorder="1" applyAlignment="1">
      <alignment horizontal="center" vertical="top"/>
    </xf>
    <xf numFmtId="0" fontId="19" fillId="4" borderId="9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11" xfId="0" applyFont="1" applyFill="1" applyBorder="1" applyAlignment="1">
      <alignment horizontal="center" vertical="top" wrapText="1"/>
    </xf>
    <xf numFmtId="0" fontId="27" fillId="7" borderId="8" xfId="4" applyFont="1" applyFill="1" applyBorder="1" applyAlignment="1">
      <alignment horizontal="left"/>
    </xf>
    <xf numFmtId="0" fontId="7" fillId="8" borderId="8" xfId="4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left" vertical="top" wrapText="1"/>
    </xf>
    <xf numFmtId="0" fontId="7" fillId="8" borderId="10" xfId="0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left" vertical="top" wrapText="1"/>
    </xf>
    <xf numFmtId="0" fontId="11" fillId="3" borderId="9" xfId="4" applyFont="1" applyFill="1" applyBorder="1" applyAlignment="1">
      <alignment horizontal="right" vertical="center" wrapText="1"/>
    </xf>
    <xf numFmtId="0" fontId="11" fillId="3" borderId="10" xfId="4" applyFont="1" applyFill="1" applyBorder="1" applyAlignment="1">
      <alignment horizontal="right" vertical="center" wrapText="1"/>
    </xf>
    <xf numFmtId="0" fontId="11" fillId="3" borderId="11" xfId="4" applyFont="1" applyFill="1" applyBorder="1" applyAlignment="1">
      <alignment horizontal="right" vertical="center" wrapText="1"/>
    </xf>
    <xf numFmtId="0" fontId="13" fillId="5" borderId="4" xfId="4" applyFont="1" applyFill="1" applyBorder="1" applyAlignment="1">
      <alignment horizontal="center" vertical="center" wrapText="1"/>
    </xf>
    <xf numFmtId="0" fontId="13" fillId="5" borderId="5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justify" vertical="top" wrapText="1"/>
    </xf>
    <xf numFmtId="0" fontId="19" fillId="4" borderId="10" xfId="0" applyFont="1" applyFill="1" applyBorder="1" applyAlignment="1">
      <alignment horizontal="justify" vertical="top" wrapText="1"/>
    </xf>
    <xf numFmtId="0" fontId="19" fillId="4" borderId="11" xfId="0" applyFont="1" applyFill="1" applyBorder="1" applyAlignment="1">
      <alignment horizontal="justify" vertical="top" wrapText="1"/>
    </xf>
    <xf numFmtId="0" fontId="10" fillId="4" borderId="8" xfId="4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justify" vertical="justify" wrapText="1"/>
    </xf>
    <xf numFmtId="0" fontId="7" fillId="4" borderId="10" xfId="0" applyFont="1" applyFill="1" applyBorder="1" applyAlignment="1">
      <alignment horizontal="justify" vertical="justify" wrapText="1"/>
    </xf>
    <xf numFmtId="0" fontId="7" fillId="4" borderId="11" xfId="0" applyFont="1" applyFill="1" applyBorder="1" applyAlignment="1">
      <alignment horizontal="justify" vertical="justify" wrapText="1"/>
    </xf>
    <xf numFmtId="0" fontId="10" fillId="4" borderId="9" xfId="4" applyFont="1" applyFill="1" applyBorder="1" applyAlignment="1">
      <alignment horizontal="left" vertical="top" wrapText="1"/>
    </xf>
    <xf numFmtId="0" fontId="10" fillId="4" borderId="10" xfId="4" applyFont="1" applyFill="1" applyBorder="1" applyAlignment="1">
      <alignment horizontal="left" vertical="top" wrapText="1"/>
    </xf>
    <xf numFmtId="0" fontId="10" fillId="4" borderId="11" xfId="4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11" fillId="12" borderId="9" xfId="4" applyFont="1" applyFill="1" applyBorder="1" applyAlignment="1">
      <alignment horizontal="left" vertical="center" wrapText="1"/>
    </xf>
    <xf numFmtId="0" fontId="11" fillId="12" borderId="10" xfId="4" applyFont="1" applyFill="1" applyBorder="1" applyAlignment="1">
      <alignment horizontal="left" vertical="center" wrapText="1"/>
    </xf>
    <xf numFmtId="0" fontId="7" fillId="8" borderId="8" xfId="4" applyFont="1" applyFill="1" applyBorder="1" applyAlignment="1">
      <alignment horizontal="left" vertical="top" wrapText="1"/>
    </xf>
    <xf numFmtId="0" fontId="8" fillId="0" borderId="8" xfId="4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justify" vertical="justify" wrapText="1"/>
    </xf>
    <xf numFmtId="0" fontId="6" fillId="4" borderId="10" xfId="0" applyFont="1" applyFill="1" applyBorder="1" applyAlignment="1">
      <alignment horizontal="justify" vertical="justify" wrapText="1"/>
    </xf>
    <xf numFmtId="0" fontId="6" fillId="4" borderId="11" xfId="0" applyFont="1" applyFill="1" applyBorder="1" applyAlignment="1">
      <alignment horizontal="justify" vertical="justify" wrapText="1"/>
    </xf>
    <xf numFmtId="0" fontId="6" fillId="0" borderId="9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6" fillId="0" borderId="11" xfId="4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justify" vertical="justify" wrapText="1"/>
    </xf>
    <xf numFmtId="0" fontId="8" fillId="4" borderId="10" xfId="0" applyFont="1" applyFill="1" applyBorder="1" applyAlignment="1">
      <alignment horizontal="justify" vertical="justify" wrapText="1"/>
    </xf>
    <xf numFmtId="0" fontId="8" fillId="4" borderId="11" xfId="0" applyFont="1" applyFill="1" applyBorder="1" applyAlignment="1">
      <alignment horizontal="justify" vertical="justify" wrapText="1"/>
    </xf>
    <xf numFmtId="0" fontId="27" fillId="7" borderId="8" xfId="4" applyFont="1" applyFill="1" applyBorder="1" applyAlignment="1">
      <alignment horizontal="left" vertical="center" wrapText="1"/>
    </xf>
    <xf numFmtId="0" fontId="31" fillId="7" borderId="8" xfId="4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5" fillId="11" borderId="8" xfId="4" applyFont="1" applyFill="1" applyBorder="1" applyAlignment="1">
      <alignment horizontal="center" vertical="center" wrapText="1"/>
    </xf>
    <xf numFmtId="0" fontId="6" fillId="0" borderId="8" xfId="4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0" borderId="8" xfId="4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justify" vertical="justify" wrapText="1"/>
    </xf>
  </cellXfs>
  <cellStyles count="12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2</xdr:row>
      <xdr:rowOff>107315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7264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showGridLines="0" tabSelected="1" view="pageBreakPreview" topLeftCell="B1" zoomScaleNormal="80" zoomScaleSheetLayoutView="100" zoomScalePageLayoutView="70" workbookViewId="0">
      <selection activeCell="B1" sqref="B1:AC1"/>
    </sheetView>
  </sheetViews>
  <sheetFormatPr baseColWidth="10" defaultColWidth="11.42578125" defaultRowHeight="12.75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9" width="8.42578125" style="1" bestFit="1" customWidth="1"/>
    <col min="10" max="10" width="9.5703125" style="1" bestFit="1" customWidth="1"/>
    <col min="11" max="14" width="4.28515625" style="1" customWidth="1"/>
    <col min="15" max="15" width="14.5703125" style="1" hidden="1" customWidth="1"/>
    <col min="16" max="19" width="4.28515625" style="1" customWidth="1"/>
    <col min="20" max="20" width="14.28515625" style="1" hidden="1" customWidth="1"/>
    <col min="21" max="24" width="4.28515625" style="1" customWidth="1"/>
    <col min="25" max="25" width="14.42578125" style="1" hidden="1" customWidth="1"/>
    <col min="26" max="27" width="11" style="1" customWidth="1"/>
    <col min="28" max="28" width="15.140625" style="1" customWidth="1"/>
    <col min="29" max="29" width="16.5703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>
      <c r="B1" s="103" t="s">
        <v>64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5"/>
    </row>
    <row r="2" spans="1:30" s="3" customFormat="1" ht="16.5" customHeight="1">
      <c r="A2" s="2"/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"/>
    </row>
    <row r="3" spans="1:30" s="2" customFormat="1" ht="15">
      <c r="B3" s="107" t="s">
        <v>2</v>
      </c>
      <c r="C3" s="107"/>
      <c r="D3" s="107"/>
      <c r="E3" s="108" t="s">
        <v>3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4" spans="1:30" s="2" customFormat="1" ht="15">
      <c r="B4" s="109" t="s">
        <v>4</v>
      </c>
      <c r="C4" s="109"/>
      <c r="D4" s="109"/>
      <c r="E4" s="110" t="s">
        <v>5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</row>
    <row r="5" spans="1:30" s="2" customFormat="1" ht="15.75" customHeight="1">
      <c r="B5" s="91" t="s">
        <v>6</v>
      </c>
      <c r="C5" s="91"/>
      <c r="D5" s="91"/>
      <c r="E5" s="92" t="s">
        <v>7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4"/>
    </row>
    <row r="6" spans="1:30" s="2" customFormat="1" ht="262.5" customHeight="1">
      <c r="B6" s="95" t="s">
        <v>8</v>
      </c>
      <c r="C6" s="96"/>
      <c r="D6" s="97"/>
      <c r="E6" s="98" t="s">
        <v>65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100"/>
    </row>
    <row r="7" spans="1:30" ht="15" customHeight="1">
      <c r="B7" s="101" t="s">
        <v>66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</row>
    <row r="8" spans="1:30" s="4" customFormat="1" ht="18" customHeight="1">
      <c r="B8" s="78" t="s">
        <v>9</v>
      </c>
      <c r="C8" s="78"/>
      <c r="D8" s="78"/>
      <c r="E8" s="78"/>
      <c r="F8" s="85" t="s">
        <v>10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7"/>
    </row>
    <row r="9" spans="1:30" s="4" customFormat="1" ht="36.75" customHeight="1">
      <c r="B9" s="78" t="s">
        <v>11</v>
      </c>
      <c r="C9" s="78"/>
      <c r="D9" s="78"/>
      <c r="E9" s="78"/>
      <c r="F9" s="79" t="s">
        <v>67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1"/>
    </row>
    <row r="10" spans="1:30" s="4" customFormat="1" ht="15.75" customHeight="1">
      <c r="B10" s="82" t="s">
        <v>12</v>
      </c>
      <c r="C10" s="83"/>
      <c r="D10" s="83"/>
      <c r="E10" s="84"/>
      <c r="F10" s="85" t="s">
        <v>68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/>
    </row>
    <row r="11" spans="1:30" s="4" customFormat="1" ht="17.25" customHeight="1">
      <c r="B11" s="88" t="s">
        <v>13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12"/>
    </row>
    <row r="12" spans="1:30" s="4" customFormat="1" ht="18" customHeight="1">
      <c r="B12" s="90" t="s">
        <v>14</v>
      </c>
      <c r="C12" s="90"/>
      <c r="D12" s="90"/>
      <c r="E12" s="90"/>
      <c r="F12" s="66" t="s">
        <v>15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</row>
    <row r="13" spans="1:30" s="4" customFormat="1" ht="17.25" customHeight="1">
      <c r="B13" s="65" t="s">
        <v>16</v>
      </c>
      <c r="C13" s="65"/>
      <c r="D13" s="65"/>
      <c r="E13" s="65"/>
      <c r="F13" s="66" t="s">
        <v>17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8"/>
    </row>
    <row r="14" spans="1:30" ht="21" customHeight="1">
      <c r="B14" s="13"/>
      <c r="C14" s="69" t="s">
        <v>69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1"/>
    </row>
    <row r="15" spans="1:30" ht="51">
      <c r="B15" s="5" t="s">
        <v>0</v>
      </c>
      <c r="C15" s="72" t="s">
        <v>18</v>
      </c>
      <c r="D15" s="73"/>
      <c r="E15" s="74"/>
      <c r="F15" s="6" t="s">
        <v>19</v>
      </c>
      <c r="G15" s="7" t="s">
        <v>20</v>
      </c>
      <c r="H15" s="8" t="s">
        <v>21</v>
      </c>
      <c r="I15" s="9" t="s">
        <v>22</v>
      </c>
      <c r="J15" s="9" t="s">
        <v>23</v>
      </c>
      <c r="K15" s="14" t="s">
        <v>24</v>
      </c>
      <c r="L15" s="14" t="s">
        <v>25</v>
      </c>
      <c r="M15" s="14" t="s">
        <v>26</v>
      </c>
      <c r="N15" s="14" t="s">
        <v>27</v>
      </c>
      <c r="O15" s="15" t="s">
        <v>28</v>
      </c>
      <c r="P15" s="16" t="s">
        <v>29</v>
      </c>
      <c r="Q15" s="16" t="s">
        <v>30</v>
      </c>
      <c r="R15" s="16" t="s">
        <v>31</v>
      </c>
      <c r="S15" s="16" t="s">
        <v>32</v>
      </c>
      <c r="T15" s="15" t="s">
        <v>33</v>
      </c>
      <c r="U15" s="16" t="s">
        <v>34</v>
      </c>
      <c r="V15" s="16" t="s">
        <v>35</v>
      </c>
      <c r="W15" s="16" t="s">
        <v>36</v>
      </c>
      <c r="X15" s="17" t="s">
        <v>37</v>
      </c>
      <c r="Y15" s="18" t="s">
        <v>38</v>
      </c>
      <c r="Z15" s="19" t="s">
        <v>39</v>
      </c>
      <c r="AA15" s="19" t="s">
        <v>40</v>
      </c>
      <c r="AB15" s="20" t="s">
        <v>70</v>
      </c>
      <c r="AC15" s="19" t="s">
        <v>59</v>
      </c>
    </row>
    <row r="16" spans="1:30" ht="94.5" customHeight="1">
      <c r="B16" s="21">
        <v>2</v>
      </c>
      <c r="C16" s="75" t="s">
        <v>60</v>
      </c>
      <c r="D16" s="76"/>
      <c r="E16" s="77"/>
      <c r="F16" s="22"/>
      <c r="G16" s="23"/>
      <c r="H16" s="24" t="s">
        <v>41</v>
      </c>
      <c r="I16" s="25">
        <f>SUM(I17:I19)</f>
        <v>433</v>
      </c>
      <c r="J16" s="25">
        <f>SUM(J17:J19)</f>
        <v>520</v>
      </c>
      <c r="K16" s="26">
        <f>+K17+K18+K19</f>
        <v>60</v>
      </c>
      <c r="L16" s="26">
        <f>+L17+L18+L19</f>
        <v>74</v>
      </c>
      <c r="M16" s="26">
        <f>+M17+M18+M19</f>
        <v>74</v>
      </c>
      <c r="N16" s="26">
        <f>+N17+N18+N19</f>
        <v>58</v>
      </c>
      <c r="O16" s="27">
        <f>SUM(O17:O19)</f>
        <v>266</v>
      </c>
      <c r="P16" s="26">
        <f>+P17+P18+P19</f>
        <v>63</v>
      </c>
      <c r="Q16" s="26">
        <f>+Q17+Q18+Q19</f>
        <v>45</v>
      </c>
      <c r="R16" s="26">
        <f>+R17+R18+R19</f>
        <v>73</v>
      </c>
      <c r="S16" s="26">
        <f>+S17+S18+S19</f>
        <v>0</v>
      </c>
      <c r="T16" s="27">
        <f>SUM(T17:T19)</f>
        <v>181</v>
      </c>
      <c r="U16" s="26">
        <f>+U17+U18+U19</f>
        <v>37</v>
      </c>
      <c r="V16" s="26">
        <f>+V17+V18+V19</f>
        <v>3</v>
      </c>
      <c r="W16" s="26">
        <f>+W17+W18+W19</f>
        <v>0</v>
      </c>
      <c r="X16" s="28">
        <f>+X17+X18+X19</f>
        <v>0</v>
      </c>
      <c r="Y16" s="27">
        <f>SUM(Y17:Y19)</f>
        <v>40</v>
      </c>
      <c r="Z16" s="27">
        <f t="shared" ref="Z16:Z30" si="0">SUM(O16+T16+Y16)</f>
        <v>487</v>
      </c>
      <c r="AA16" s="29">
        <f t="shared" ref="AA16:AA31" si="1">SUM(Z16/J16)</f>
        <v>0.93653846153846154</v>
      </c>
      <c r="AB16" s="30">
        <v>11038406</v>
      </c>
      <c r="AC16" s="31" t="s">
        <v>42</v>
      </c>
      <c r="AD16" s="32">
        <f>31+31+31+31</f>
        <v>124</v>
      </c>
    </row>
    <row r="17" spans="2:30" ht="66.75" customHeight="1">
      <c r="B17" s="33"/>
      <c r="C17" s="61"/>
      <c r="D17" s="62"/>
      <c r="E17" s="63"/>
      <c r="F17" s="34" t="s">
        <v>61</v>
      </c>
      <c r="G17" s="23"/>
      <c r="H17" s="24" t="s">
        <v>41</v>
      </c>
      <c r="I17" s="25">
        <v>23</v>
      </c>
      <c r="J17" s="25">
        <f>23+2</f>
        <v>25</v>
      </c>
      <c r="K17" s="26">
        <v>4</v>
      </c>
      <c r="L17" s="26">
        <v>0</v>
      </c>
      <c r="M17" s="26">
        <v>3</v>
      </c>
      <c r="N17" s="26">
        <v>8</v>
      </c>
      <c r="O17" s="27">
        <f t="shared" ref="O17:O31" si="2">SUM(K17:N17)</f>
        <v>15</v>
      </c>
      <c r="P17" s="35">
        <v>3</v>
      </c>
      <c r="Q17" s="26">
        <v>1</v>
      </c>
      <c r="R17" s="26">
        <v>3</v>
      </c>
      <c r="S17" s="26">
        <v>0</v>
      </c>
      <c r="T17" s="27">
        <f t="shared" ref="T17:T31" si="3">SUM(P17:S17)</f>
        <v>7</v>
      </c>
      <c r="U17" s="56">
        <v>3</v>
      </c>
      <c r="V17" s="56" t="s">
        <v>75</v>
      </c>
      <c r="W17" s="56" t="s">
        <v>75</v>
      </c>
      <c r="X17" s="57" t="s">
        <v>75</v>
      </c>
      <c r="Y17" s="27">
        <f t="shared" ref="Y17:Y30" si="4">SUM(U17:X17)</f>
        <v>3</v>
      </c>
      <c r="Z17" s="27">
        <f t="shared" si="0"/>
        <v>25</v>
      </c>
      <c r="AA17" s="29">
        <f t="shared" si="1"/>
        <v>1</v>
      </c>
      <c r="AB17" s="30"/>
      <c r="AC17" s="36" t="s">
        <v>43</v>
      </c>
      <c r="AD17" s="32">
        <v>0</v>
      </c>
    </row>
    <row r="18" spans="2:30" ht="52.5" customHeight="1">
      <c r="B18" s="22"/>
      <c r="C18" s="61"/>
      <c r="D18" s="62"/>
      <c r="E18" s="63"/>
      <c r="F18" s="34" t="s">
        <v>62</v>
      </c>
      <c r="G18" s="23"/>
      <c r="H18" s="24" t="s">
        <v>41</v>
      </c>
      <c r="I18" s="25">
        <v>350</v>
      </c>
      <c r="J18" s="25">
        <f>350+54+31</f>
        <v>435</v>
      </c>
      <c r="K18" s="26">
        <f>18+2+33+2+1</f>
        <v>56</v>
      </c>
      <c r="L18" s="26">
        <f>44+10+1+2+1+9</f>
        <v>67</v>
      </c>
      <c r="M18" s="26">
        <f>32+18+8+4+1+1</f>
        <v>64</v>
      </c>
      <c r="N18" s="26">
        <f>25+3+5+4+3+10</f>
        <v>50</v>
      </c>
      <c r="O18" s="27">
        <f t="shared" si="2"/>
        <v>237</v>
      </c>
      <c r="P18" s="37">
        <f>37+3+7+3+1+2+2+2</f>
        <v>57</v>
      </c>
      <c r="Q18" s="26">
        <f>35+1+1+2+2+1+1</f>
        <v>43</v>
      </c>
      <c r="R18" s="26">
        <f>37+2+4+3+19+2</f>
        <v>67</v>
      </c>
      <c r="S18" s="26">
        <v>0</v>
      </c>
      <c r="T18" s="27">
        <f t="shared" si="3"/>
        <v>167</v>
      </c>
      <c r="U18" s="26">
        <v>31</v>
      </c>
      <c r="V18" s="26">
        <v>0</v>
      </c>
      <c r="W18" s="26">
        <v>0</v>
      </c>
      <c r="X18" s="28">
        <v>0</v>
      </c>
      <c r="Y18" s="27">
        <f t="shared" si="4"/>
        <v>31</v>
      </c>
      <c r="Z18" s="27">
        <f t="shared" si="0"/>
        <v>435</v>
      </c>
      <c r="AA18" s="29">
        <f t="shared" si="1"/>
        <v>1</v>
      </c>
      <c r="AB18" s="30"/>
      <c r="AC18" s="36" t="s">
        <v>44</v>
      </c>
      <c r="AD18" s="32">
        <f>21+21+21+21</f>
        <v>84</v>
      </c>
    </row>
    <row r="19" spans="2:30" ht="66.75" customHeight="1">
      <c r="B19" s="33"/>
      <c r="C19" s="61"/>
      <c r="D19" s="62"/>
      <c r="E19" s="63"/>
      <c r="F19" s="34" t="s">
        <v>63</v>
      </c>
      <c r="G19" s="23"/>
      <c r="H19" s="24" t="s">
        <v>41</v>
      </c>
      <c r="I19" s="25">
        <v>60</v>
      </c>
      <c r="J19" s="25">
        <v>60</v>
      </c>
      <c r="K19" s="26">
        <v>0</v>
      </c>
      <c r="L19" s="26">
        <v>7</v>
      </c>
      <c r="M19" s="26">
        <v>7</v>
      </c>
      <c r="N19" s="26">
        <v>0</v>
      </c>
      <c r="O19" s="27">
        <f t="shared" si="2"/>
        <v>14</v>
      </c>
      <c r="P19" s="37">
        <v>3</v>
      </c>
      <c r="Q19" s="26">
        <v>1</v>
      </c>
      <c r="R19" s="26">
        <v>3</v>
      </c>
      <c r="S19" s="56">
        <v>0</v>
      </c>
      <c r="T19" s="27">
        <f t="shared" si="3"/>
        <v>7</v>
      </c>
      <c r="U19" s="41">
        <v>3</v>
      </c>
      <c r="V19" s="41">
        <v>3</v>
      </c>
      <c r="W19" s="41">
        <v>0</v>
      </c>
      <c r="X19" s="28">
        <v>0</v>
      </c>
      <c r="Y19" s="27">
        <f t="shared" si="4"/>
        <v>6</v>
      </c>
      <c r="Z19" s="27">
        <f t="shared" si="0"/>
        <v>27</v>
      </c>
      <c r="AA19" s="29">
        <f t="shared" si="1"/>
        <v>0.45</v>
      </c>
      <c r="AB19" s="30"/>
      <c r="AC19" s="36" t="s">
        <v>45</v>
      </c>
      <c r="AD19" s="32">
        <f>10+10+10+10</f>
        <v>40</v>
      </c>
    </row>
    <row r="20" spans="2:30" ht="125.25" customHeight="1">
      <c r="B20" s="22"/>
      <c r="C20" s="61"/>
      <c r="D20" s="62"/>
      <c r="E20" s="63"/>
      <c r="F20" s="38"/>
      <c r="G20" s="34" t="s">
        <v>71</v>
      </c>
      <c r="H20" s="39" t="s">
        <v>46</v>
      </c>
      <c r="I20" s="40">
        <v>48</v>
      </c>
      <c r="J20" s="40">
        <v>48</v>
      </c>
      <c r="K20" s="41">
        <v>9</v>
      </c>
      <c r="L20" s="41">
        <v>31</v>
      </c>
      <c r="M20" s="41">
        <v>8</v>
      </c>
      <c r="N20" s="41">
        <v>0</v>
      </c>
      <c r="O20" s="42">
        <f t="shared" si="2"/>
        <v>48</v>
      </c>
      <c r="P20" s="41">
        <v>0</v>
      </c>
      <c r="Q20" s="41">
        <v>0</v>
      </c>
      <c r="R20" s="41" t="s">
        <v>75</v>
      </c>
      <c r="S20" s="41">
        <v>0</v>
      </c>
      <c r="T20" s="42">
        <f t="shared" si="3"/>
        <v>0</v>
      </c>
      <c r="U20" s="41">
        <v>0</v>
      </c>
      <c r="V20" s="41">
        <v>0</v>
      </c>
      <c r="W20" s="41">
        <v>0</v>
      </c>
      <c r="X20" s="43">
        <v>0</v>
      </c>
      <c r="Y20" s="42">
        <f t="shared" si="4"/>
        <v>0</v>
      </c>
      <c r="Z20" s="42">
        <f t="shared" si="0"/>
        <v>48</v>
      </c>
      <c r="AA20" s="44">
        <f t="shared" si="1"/>
        <v>1</v>
      </c>
      <c r="AB20" s="45"/>
      <c r="AC20" s="30" t="s">
        <v>47</v>
      </c>
    </row>
    <row r="21" spans="2:30" ht="32.25" customHeight="1">
      <c r="B21" s="22"/>
      <c r="C21" s="61"/>
      <c r="D21" s="62"/>
      <c r="E21" s="63"/>
      <c r="F21" s="38"/>
      <c r="G21" s="46" t="s">
        <v>48</v>
      </c>
      <c r="H21" s="47" t="s">
        <v>49</v>
      </c>
      <c r="I21" s="40">
        <v>300</v>
      </c>
      <c r="J21" s="40">
        <v>300</v>
      </c>
      <c r="K21" s="41">
        <v>10</v>
      </c>
      <c r="L21" s="41">
        <v>7</v>
      </c>
      <c r="M21" s="41">
        <v>2</v>
      </c>
      <c r="N21" s="41">
        <v>3</v>
      </c>
      <c r="O21" s="42">
        <f t="shared" si="2"/>
        <v>22</v>
      </c>
      <c r="P21" s="41">
        <v>4</v>
      </c>
      <c r="Q21" s="41">
        <v>8</v>
      </c>
      <c r="R21" s="41">
        <v>3</v>
      </c>
      <c r="S21" s="41">
        <v>7</v>
      </c>
      <c r="T21" s="42">
        <f t="shared" si="3"/>
        <v>22</v>
      </c>
      <c r="U21" s="41">
        <v>12</v>
      </c>
      <c r="V21" s="41">
        <f>47+1</f>
        <v>48</v>
      </c>
      <c r="W21" s="41">
        <v>37</v>
      </c>
      <c r="X21" s="43">
        <v>39</v>
      </c>
      <c r="Y21" s="42">
        <f t="shared" si="4"/>
        <v>136</v>
      </c>
      <c r="Z21" s="42">
        <f t="shared" si="0"/>
        <v>180</v>
      </c>
      <c r="AA21" s="44">
        <f t="shared" si="1"/>
        <v>0.6</v>
      </c>
      <c r="AB21" s="30"/>
      <c r="AC21" s="30" t="s">
        <v>45</v>
      </c>
    </row>
    <row r="22" spans="2:30" ht="16.5" customHeight="1">
      <c r="B22" s="22"/>
      <c r="C22" s="61"/>
      <c r="D22" s="62"/>
      <c r="E22" s="63"/>
      <c r="F22" s="38"/>
      <c r="G22" s="46" t="s">
        <v>50</v>
      </c>
      <c r="H22" s="48" t="s">
        <v>41</v>
      </c>
      <c r="I22" s="49">
        <v>1000</v>
      </c>
      <c r="J22" s="49">
        <v>1000</v>
      </c>
      <c r="K22" s="41">
        <f>8+10</f>
        <v>18</v>
      </c>
      <c r="L22" s="41">
        <f>7+46</f>
        <v>53</v>
      </c>
      <c r="M22" s="41">
        <v>61</v>
      </c>
      <c r="N22" s="41">
        <f>14+3</f>
        <v>17</v>
      </c>
      <c r="O22" s="42">
        <f t="shared" si="2"/>
        <v>149</v>
      </c>
      <c r="P22" s="41">
        <f>4+11</f>
        <v>15</v>
      </c>
      <c r="Q22" s="41">
        <f>8+1</f>
        <v>9</v>
      </c>
      <c r="R22" s="41">
        <v>3</v>
      </c>
      <c r="S22" s="41">
        <f>64+7</f>
        <v>71</v>
      </c>
      <c r="T22" s="42">
        <f t="shared" si="3"/>
        <v>98</v>
      </c>
      <c r="U22" s="41">
        <f>128+12</f>
        <v>140</v>
      </c>
      <c r="V22" s="41">
        <v>47</v>
      </c>
      <c r="W22" s="41">
        <f>37+2</f>
        <v>39</v>
      </c>
      <c r="X22" s="43">
        <v>89</v>
      </c>
      <c r="Y22" s="42">
        <f t="shared" si="4"/>
        <v>315</v>
      </c>
      <c r="Z22" s="42">
        <f t="shared" si="0"/>
        <v>562</v>
      </c>
      <c r="AA22" s="44">
        <f t="shared" si="1"/>
        <v>0.56200000000000006</v>
      </c>
      <c r="AB22" s="45"/>
      <c r="AC22" s="30" t="s">
        <v>45</v>
      </c>
    </row>
    <row r="23" spans="2:30" ht="107.25" customHeight="1">
      <c r="B23" s="22"/>
      <c r="C23" s="61"/>
      <c r="D23" s="62"/>
      <c r="E23" s="63"/>
      <c r="F23" s="38"/>
      <c r="G23" s="46" t="s">
        <v>51</v>
      </c>
      <c r="H23" s="48" t="s">
        <v>41</v>
      </c>
      <c r="I23" s="40">
        <v>35</v>
      </c>
      <c r="J23" s="40">
        <v>35</v>
      </c>
      <c r="K23" s="41">
        <v>2</v>
      </c>
      <c r="L23" s="41">
        <v>5</v>
      </c>
      <c r="M23" s="41">
        <v>2</v>
      </c>
      <c r="N23" s="41">
        <v>2</v>
      </c>
      <c r="O23" s="42">
        <f t="shared" si="2"/>
        <v>11</v>
      </c>
      <c r="P23" s="41">
        <v>4</v>
      </c>
      <c r="Q23" s="41">
        <v>3</v>
      </c>
      <c r="R23" s="41">
        <v>4</v>
      </c>
      <c r="S23" s="41">
        <v>5</v>
      </c>
      <c r="T23" s="42">
        <f t="shared" si="3"/>
        <v>16</v>
      </c>
      <c r="U23" s="41">
        <v>0</v>
      </c>
      <c r="V23" s="41">
        <v>6</v>
      </c>
      <c r="W23" s="41">
        <v>2</v>
      </c>
      <c r="X23" s="58"/>
      <c r="Y23" s="42">
        <f t="shared" si="4"/>
        <v>8</v>
      </c>
      <c r="Z23" s="42">
        <f t="shared" si="0"/>
        <v>35</v>
      </c>
      <c r="AA23" s="50">
        <f t="shared" si="1"/>
        <v>1</v>
      </c>
      <c r="AB23" s="45"/>
      <c r="AC23" s="30" t="s">
        <v>43</v>
      </c>
    </row>
    <row r="24" spans="2:30" ht="40.5" customHeight="1">
      <c r="B24" s="22"/>
      <c r="C24" s="61"/>
      <c r="D24" s="62"/>
      <c r="E24" s="63"/>
      <c r="F24" s="38"/>
      <c r="G24" s="46" t="s">
        <v>52</v>
      </c>
      <c r="H24" s="48" t="s">
        <v>41</v>
      </c>
      <c r="I24" s="40">
        <v>500</v>
      </c>
      <c r="J24" s="40">
        <v>500</v>
      </c>
      <c r="K24" s="41">
        <v>36</v>
      </c>
      <c r="L24" s="41">
        <v>112</v>
      </c>
      <c r="M24" s="41">
        <v>34</v>
      </c>
      <c r="N24" s="41">
        <v>39</v>
      </c>
      <c r="O24" s="42">
        <f t="shared" si="2"/>
        <v>221</v>
      </c>
      <c r="P24" s="41">
        <v>39</v>
      </c>
      <c r="Q24" s="41">
        <v>40</v>
      </c>
      <c r="R24" s="41">
        <v>50</v>
      </c>
      <c r="S24" s="41">
        <v>40</v>
      </c>
      <c r="T24" s="42">
        <f t="shared" si="3"/>
        <v>169</v>
      </c>
      <c r="U24" s="41">
        <v>29</v>
      </c>
      <c r="V24" s="41">
        <v>25</v>
      </c>
      <c r="W24" s="41">
        <v>48</v>
      </c>
      <c r="X24" s="58">
        <v>8</v>
      </c>
      <c r="Y24" s="42">
        <f t="shared" si="4"/>
        <v>110</v>
      </c>
      <c r="Z24" s="42">
        <f t="shared" si="0"/>
        <v>500</v>
      </c>
      <c r="AA24" s="50">
        <f t="shared" si="1"/>
        <v>1</v>
      </c>
      <c r="AB24" s="45"/>
      <c r="AC24" s="30" t="s">
        <v>43</v>
      </c>
    </row>
    <row r="25" spans="2:30" ht="36.75" customHeight="1">
      <c r="B25" s="22"/>
      <c r="C25" s="61"/>
      <c r="D25" s="62"/>
      <c r="E25" s="63"/>
      <c r="F25" s="38"/>
      <c r="G25" s="46" t="s">
        <v>53</v>
      </c>
      <c r="H25" s="48" t="s">
        <v>41</v>
      </c>
      <c r="I25" s="49">
        <v>1050</v>
      </c>
      <c r="J25" s="49">
        <v>1050</v>
      </c>
      <c r="K25" s="41">
        <f>133+8+33+2+1</f>
        <v>177</v>
      </c>
      <c r="L25" s="41">
        <f>196+40+1+1+2+3</f>
        <v>243</v>
      </c>
      <c r="M25" s="41">
        <f>236+32+2+1+1+1+1</f>
        <v>274</v>
      </c>
      <c r="N25" s="41">
        <f>137+13+1+2+1+4+2+1</f>
        <v>161</v>
      </c>
      <c r="O25" s="42">
        <f t="shared" si="2"/>
        <v>855</v>
      </c>
      <c r="P25" s="41">
        <f>114+26+3+1+2+2+2</f>
        <v>150</v>
      </c>
      <c r="Q25" s="41">
        <v>45</v>
      </c>
      <c r="R25" s="41">
        <v>0</v>
      </c>
      <c r="S25" s="41">
        <v>0</v>
      </c>
      <c r="T25" s="42">
        <f t="shared" si="3"/>
        <v>195</v>
      </c>
      <c r="U25" s="41">
        <v>0</v>
      </c>
      <c r="V25" s="41">
        <v>0</v>
      </c>
      <c r="W25" s="41">
        <v>0</v>
      </c>
      <c r="X25" s="43">
        <v>0</v>
      </c>
      <c r="Y25" s="42">
        <f t="shared" si="4"/>
        <v>0</v>
      </c>
      <c r="Z25" s="42">
        <f t="shared" si="0"/>
        <v>1050</v>
      </c>
      <c r="AA25" s="44">
        <f t="shared" si="1"/>
        <v>1</v>
      </c>
      <c r="AB25" s="45"/>
      <c r="AC25" s="30" t="s">
        <v>44</v>
      </c>
    </row>
    <row r="26" spans="2:30" ht="43.5" customHeight="1">
      <c r="B26" s="22"/>
      <c r="C26" s="61"/>
      <c r="D26" s="62"/>
      <c r="E26" s="63"/>
      <c r="F26" s="38"/>
      <c r="G26" s="51" t="s">
        <v>72</v>
      </c>
      <c r="H26" s="48" t="s">
        <v>41</v>
      </c>
      <c r="I26" s="49">
        <v>3000</v>
      </c>
      <c r="J26" s="49">
        <v>3000</v>
      </c>
      <c r="K26" s="41">
        <v>3</v>
      </c>
      <c r="L26" s="41">
        <f>276+9</f>
        <v>285</v>
      </c>
      <c r="M26" s="41">
        <f>464+9</f>
        <v>473</v>
      </c>
      <c r="N26" s="41">
        <f>316+7</f>
        <v>323</v>
      </c>
      <c r="O26" s="42">
        <f t="shared" si="2"/>
        <v>1084</v>
      </c>
      <c r="P26" s="41">
        <f>330+36</f>
        <v>366</v>
      </c>
      <c r="Q26" s="41">
        <f>232+10</f>
        <v>242</v>
      </c>
      <c r="R26" s="41">
        <f>209+5</f>
        <v>214</v>
      </c>
      <c r="S26" s="41">
        <f>336+10</f>
        <v>346</v>
      </c>
      <c r="T26" s="42">
        <f t="shared" si="3"/>
        <v>1168</v>
      </c>
      <c r="U26" s="41">
        <f>154+7</f>
        <v>161</v>
      </c>
      <c r="V26" s="41">
        <f>103+7</f>
        <v>110</v>
      </c>
      <c r="W26" s="41">
        <f>239+7</f>
        <v>246</v>
      </c>
      <c r="X26" s="43">
        <f>153+3</f>
        <v>156</v>
      </c>
      <c r="Y26" s="42">
        <f t="shared" si="4"/>
        <v>673</v>
      </c>
      <c r="Z26" s="42">
        <f t="shared" si="0"/>
        <v>2925</v>
      </c>
      <c r="AA26" s="44">
        <f t="shared" si="1"/>
        <v>0.97499999999999998</v>
      </c>
      <c r="AB26" s="45"/>
      <c r="AC26" s="30" t="s">
        <v>44</v>
      </c>
    </row>
    <row r="27" spans="2:30" ht="44.25" customHeight="1">
      <c r="B27" s="22"/>
      <c r="C27" s="61"/>
      <c r="D27" s="62"/>
      <c r="E27" s="63"/>
      <c r="F27" s="38"/>
      <c r="G27" s="46" t="s">
        <v>54</v>
      </c>
      <c r="H27" s="48" t="s">
        <v>49</v>
      </c>
      <c r="I27" s="40">
        <v>12</v>
      </c>
      <c r="J27" s="40">
        <v>12</v>
      </c>
      <c r="K27" s="41">
        <v>0</v>
      </c>
      <c r="L27" s="41">
        <v>1</v>
      </c>
      <c r="M27" s="41">
        <v>1</v>
      </c>
      <c r="N27" s="41">
        <v>3</v>
      </c>
      <c r="O27" s="42">
        <f t="shared" si="2"/>
        <v>5</v>
      </c>
      <c r="P27" s="53">
        <v>1</v>
      </c>
      <c r="Q27" s="41">
        <v>1</v>
      </c>
      <c r="R27" s="41">
        <v>1</v>
      </c>
      <c r="S27" s="41">
        <v>1</v>
      </c>
      <c r="T27" s="42">
        <f t="shared" si="3"/>
        <v>4</v>
      </c>
      <c r="U27" s="41">
        <v>1</v>
      </c>
      <c r="V27" s="41">
        <v>1</v>
      </c>
      <c r="W27" s="41">
        <v>1</v>
      </c>
      <c r="X27" s="43">
        <v>0</v>
      </c>
      <c r="Y27" s="42">
        <f t="shared" si="4"/>
        <v>3</v>
      </c>
      <c r="Z27" s="42">
        <f t="shared" si="0"/>
        <v>12</v>
      </c>
      <c r="AA27" s="44">
        <f t="shared" si="1"/>
        <v>1</v>
      </c>
      <c r="AB27" s="45"/>
      <c r="AC27" s="30" t="s">
        <v>44</v>
      </c>
    </row>
    <row r="28" spans="2:30" ht="54.75" customHeight="1">
      <c r="B28" s="22"/>
      <c r="C28" s="61"/>
      <c r="D28" s="62"/>
      <c r="E28" s="63"/>
      <c r="F28" s="38"/>
      <c r="G28" s="46" t="s">
        <v>55</v>
      </c>
      <c r="H28" s="38" t="s">
        <v>46</v>
      </c>
      <c r="I28" s="39">
        <v>6</v>
      </c>
      <c r="J28" s="40">
        <v>6</v>
      </c>
      <c r="K28" s="41">
        <v>0</v>
      </c>
      <c r="L28" s="53">
        <v>0</v>
      </c>
      <c r="M28" s="53">
        <v>0</v>
      </c>
      <c r="N28" s="53">
        <v>0</v>
      </c>
      <c r="O28" s="42">
        <f t="shared" si="2"/>
        <v>0</v>
      </c>
      <c r="P28" s="41">
        <v>2</v>
      </c>
      <c r="Q28" s="41">
        <v>1</v>
      </c>
      <c r="R28" s="41">
        <v>1</v>
      </c>
      <c r="S28" s="41">
        <v>1</v>
      </c>
      <c r="T28" s="42">
        <f t="shared" si="3"/>
        <v>5</v>
      </c>
      <c r="U28" s="41">
        <v>1</v>
      </c>
      <c r="V28" s="41" t="s">
        <v>75</v>
      </c>
      <c r="W28" s="41" t="s">
        <v>75</v>
      </c>
      <c r="X28" s="59" t="s">
        <v>75</v>
      </c>
      <c r="Y28" s="42">
        <f t="shared" si="4"/>
        <v>1</v>
      </c>
      <c r="Z28" s="42">
        <f t="shared" si="0"/>
        <v>6</v>
      </c>
      <c r="AA28" s="44">
        <f t="shared" si="1"/>
        <v>1</v>
      </c>
      <c r="AB28" s="45"/>
      <c r="AC28" s="30" t="s">
        <v>56</v>
      </c>
    </row>
    <row r="29" spans="2:30" ht="57" customHeight="1">
      <c r="B29" s="22"/>
      <c r="C29" s="61"/>
      <c r="D29" s="62"/>
      <c r="E29" s="63"/>
      <c r="F29" s="38"/>
      <c r="G29" s="46" t="s">
        <v>57</v>
      </c>
      <c r="H29" s="40" t="s">
        <v>41</v>
      </c>
      <c r="I29" s="39">
        <v>60</v>
      </c>
      <c r="J29" s="40">
        <v>60</v>
      </c>
      <c r="K29" s="41">
        <v>9</v>
      </c>
      <c r="L29" s="41">
        <v>3</v>
      </c>
      <c r="M29" s="41">
        <v>1</v>
      </c>
      <c r="N29" s="41">
        <v>1</v>
      </c>
      <c r="O29" s="42">
        <f t="shared" si="2"/>
        <v>14</v>
      </c>
      <c r="P29" s="41">
        <v>0</v>
      </c>
      <c r="Q29" s="41">
        <v>0</v>
      </c>
      <c r="R29" s="41">
        <v>1</v>
      </c>
      <c r="S29" s="41">
        <v>0</v>
      </c>
      <c r="T29" s="42">
        <f t="shared" si="3"/>
        <v>1</v>
      </c>
      <c r="U29" s="41">
        <v>1</v>
      </c>
      <c r="V29" s="41">
        <v>3</v>
      </c>
      <c r="W29" s="41">
        <v>1</v>
      </c>
      <c r="X29" s="43">
        <v>3</v>
      </c>
      <c r="Y29" s="42">
        <f t="shared" si="4"/>
        <v>8</v>
      </c>
      <c r="Z29" s="42">
        <f t="shared" si="0"/>
        <v>23</v>
      </c>
      <c r="AA29" s="44">
        <f t="shared" si="1"/>
        <v>0.38333333333333336</v>
      </c>
      <c r="AB29" s="30"/>
      <c r="AC29" s="30" t="s">
        <v>56</v>
      </c>
    </row>
    <row r="30" spans="2:30" ht="56.25" customHeight="1">
      <c r="B30" s="22"/>
      <c r="C30" s="61"/>
      <c r="D30" s="62"/>
      <c r="E30" s="63"/>
      <c r="F30" s="38"/>
      <c r="G30" s="46" t="s">
        <v>58</v>
      </c>
      <c r="H30" s="38" t="s">
        <v>46</v>
      </c>
      <c r="I30" s="39">
        <v>6</v>
      </c>
      <c r="J30" s="40">
        <v>6</v>
      </c>
      <c r="K30" s="41">
        <v>0</v>
      </c>
      <c r="L30" s="41" t="s">
        <v>75</v>
      </c>
      <c r="M30" s="41" t="s">
        <v>75</v>
      </c>
      <c r="N30" s="41">
        <v>4</v>
      </c>
      <c r="O30" s="42">
        <f>SUM(K30:N30)</f>
        <v>4</v>
      </c>
      <c r="P30" s="41">
        <v>1</v>
      </c>
      <c r="Q30" s="41">
        <v>1</v>
      </c>
      <c r="R30" s="41">
        <v>0</v>
      </c>
      <c r="S30" s="41" t="s">
        <v>75</v>
      </c>
      <c r="T30" s="42">
        <f t="shared" si="3"/>
        <v>2</v>
      </c>
      <c r="U30" s="60" t="s">
        <v>76</v>
      </c>
      <c r="V30" s="60" t="s">
        <v>75</v>
      </c>
      <c r="W30" s="60" t="s">
        <v>75</v>
      </c>
      <c r="X30" s="59" t="s">
        <v>75</v>
      </c>
      <c r="Y30" s="42">
        <f t="shared" si="4"/>
        <v>0</v>
      </c>
      <c r="Z30" s="42">
        <f t="shared" si="0"/>
        <v>6</v>
      </c>
      <c r="AA30" s="44">
        <f t="shared" si="1"/>
        <v>1</v>
      </c>
      <c r="AB30" s="45"/>
      <c r="AC30" s="30" t="s">
        <v>56</v>
      </c>
    </row>
    <row r="31" spans="2:30" ht="93" customHeight="1">
      <c r="B31" s="22"/>
      <c r="C31" s="61"/>
      <c r="D31" s="62"/>
      <c r="E31" s="63"/>
      <c r="F31" s="38"/>
      <c r="G31" s="46" t="s">
        <v>73</v>
      </c>
      <c r="H31" s="38" t="s">
        <v>46</v>
      </c>
      <c r="I31" s="39">
        <v>15</v>
      </c>
      <c r="J31" s="40">
        <v>15</v>
      </c>
      <c r="K31" s="52">
        <v>1</v>
      </c>
      <c r="L31" s="52">
        <v>0</v>
      </c>
      <c r="M31" s="52">
        <v>0</v>
      </c>
      <c r="N31" s="41">
        <v>2</v>
      </c>
      <c r="O31" s="42">
        <f t="shared" si="2"/>
        <v>3</v>
      </c>
      <c r="P31" s="53">
        <v>2</v>
      </c>
      <c r="Q31" s="41">
        <v>1</v>
      </c>
      <c r="R31" s="41">
        <v>2</v>
      </c>
      <c r="S31" s="41">
        <v>2</v>
      </c>
      <c r="T31" s="42">
        <f t="shared" si="3"/>
        <v>7</v>
      </c>
      <c r="U31" s="53">
        <v>2</v>
      </c>
      <c r="V31" s="53">
        <v>2</v>
      </c>
      <c r="W31" s="53">
        <v>1</v>
      </c>
      <c r="X31" s="43">
        <v>0</v>
      </c>
      <c r="Y31" s="54">
        <f>SUM(U31:X31)</f>
        <v>5</v>
      </c>
      <c r="Z31" s="54">
        <f>SUM(O31+T31+Y31)</f>
        <v>15</v>
      </c>
      <c r="AA31" s="50">
        <f t="shared" si="1"/>
        <v>1</v>
      </c>
      <c r="AB31" s="45"/>
      <c r="AC31" s="30" t="s">
        <v>47</v>
      </c>
    </row>
    <row r="32" spans="2:30" ht="20.25" customHeight="1">
      <c r="B32" s="55"/>
      <c r="C32" s="64" t="s">
        <v>74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55"/>
    </row>
    <row r="33" spans="9:23">
      <c r="R33" s="4"/>
    </row>
    <row r="34" spans="9:23">
      <c r="I34" s="11"/>
      <c r="R34" s="4"/>
      <c r="T34" s="11"/>
    </row>
    <row r="35" spans="9:23">
      <c r="I35" s="11"/>
      <c r="R35" s="4"/>
    </row>
    <row r="36" spans="9:23">
      <c r="R36" s="4"/>
    </row>
    <row r="37" spans="9:23">
      <c r="R37" s="4"/>
      <c r="W37" s="11"/>
    </row>
    <row r="38" spans="9:23">
      <c r="R38" s="4"/>
    </row>
    <row r="39" spans="9:23">
      <c r="R39" s="4"/>
    </row>
    <row r="40" spans="9:23">
      <c r="R40" s="4"/>
    </row>
    <row r="41" spans="9:23">
      <c r="R41" s="4"/>
    </row>
  </sheetData>
  <autoFilter ref="AC16:AC32"/>
  <mergeCells count="41">
    <mergeCell ref="B1:AC1"/>
    <mergeCell ref="B2:AC2"/>
    <mergeCell ref="B3:D3"/>
    <mergeCell ref="E3:AC3"/>
    <mergeCell ref="B4:D4"/>
    <mergeCell ref="E4:AC4"/>
    <mergeCell ref="B12:E12"/>
    <mergeCell ref="F12:AC12"/>
    <mergeCell ref="B5:D5"/>
    <mergeCell ref="E5:AC5"/>
    <mergeCell ref="B6:D6"/>
    <mergeCell ref="E6:AC6"/>
    <mergeCell ref="B7:AC7"/>
    <mergeCell ref="B8:E8"/>
    <mergeCell ref="F8:AC8"/>
    <mergeCell ref="B9:E9"/>
    <mergeCell ref="F9:AC9"/>
    <mergeCell ref="B10:E10"/>
    <mergeCell ref="F10:AC10"/>
    <mergeCell ref="B11:AB11"/>
    <mergeCell ref="C23:E23"/>
    <mergeCell ref="B13:E13"/>
    <mergeCell ref="F13:AC13"/>
    <mergeCell ref="C14:AC14"/>
    <mergeCell ref="C15:E15"/>
    <mergeCell ref="C16:E16"/>
    <mergeCell ref="C17:E17"/>
    <mergeCell ref="C18:E18"/>
    <mergeCell ref="C19:E19"/>
    <mergeCell ref="C20:E20"/>
    <mergeCell ref="C21:E21"/>
    <mergeCell ref="C22:E22"/>
    <mergeCell ref="C30:E30"/>
    <mergeCell ref="C31:E31"/>
    <mergeCell ref="C32:AB32"/>
    <mergeCell ref="C24:E24"/>
    <mergeCell ref="C25:E25"/>
    <mergeCell ref="C26:E26"/>
    <mergeCell ref="C27:E27"/>
    <mergeCell ref="C28:E28"/>
    <mergeCell ref="C29:E29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2024
&amp;P</oddFooter>
  </headerFooter>
  <rowBreaks count="2" manualBreakCount="2">
    <brk id="16" min="1" max="28" man="1"/>
    <brk id="26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2025-01-14T18:04:15Z</cp:lastPrinted>
  <dcterms:created xsi:type="dcterms:W3CDTF">2017-12-05T18:01:17Z</dcterms:created>
  <dcterms:modified xsi:type="dcterms:W3CDTF">2025-01-14T19:48:36Z</dcterms:modified>
</cp:coreProperties>
</file>