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13_ncr:1_{8EE89673-8753-4C4F-8D12-611C680D9C2C}" xr6:coauthVersionLast="47" xr6:coauthVersionMax="47" xr10:uidLastSave="{00000000-0000-0000-0000-000000000000}"/>
  <bookViews>
    <workbookView xWindow="30" yWindow="30" windowWidth="28770" windowHeight="15450" tabRatio="793" xr2:uid="{00000000-000D-0000-FFFF-FFFF00000000}"/>
  </bookViews>
  <sheets>
    <sheet name="EJECUCION MENSUAL" sheetId="1" r:id="rId1"/>
  </sheets>
  <calcPr calcId="191029"/>
</workbook>
</file>

<file path=xl/calcChain.xml><?xml version="1.0" encoding="utf-8"?>
<calcChain xmlns="http://schemas.openxmlformats.org/spreadsheetml/2006/main">
  <c r="S21" i="1" l="1"/>
  <c r="S23" i="1"/>
  <c r="S19" i="1" s="1"/>
  <c r="S26" i="1"/>
  <c r="S27" i="1"/>
  <c r="R21" i="1"/>
  <c r="R19" i="1" s="1"/>
  <c r="R26" i="1"/>
  <c r="Q21" i="1"/>
  <c r="Q20" i="1"/>
  <c r="Q23" i="1"/>
  <c r="Q26" i="1"/>
  <c r="P21" i="1"/>
  <c r="P23" i="1"/>
  <c r="P26" i="1"/>
  <c r="N21" i="1"/>
  <c r="N19" i="1"/>
  <c r="N26" i="1"/>
  <c r="M26" i="1"/>
  <c r="J23" i="1"/>
  <c r="J21" i="1"/>
  <c r="J19" i="1" s="1"/>
  <c r="J27" i="1"/>
  <c r="L21" i="1"/>
  <c r="L19" i="1" s="1"/>
  <c r="L23" i="1"/>
  <c r="L26" i="1"/>
  <c r="K23" i="1"/>
  <c r="K21" i="1"/>
  <c r="K26" i="1"/>
  <c r="I19" i="1"/>
  <c r="S20" i="1" l="1"/>
  <c r="R20" i="1"/>
  <c r="Q19" i="1"/>
  <c r="P20" i="1"/>
  <c r="N20" i="1"/>
  <c r="M20" i="1"/>
  <c r="M19" i="1"/>
  <c r="L20" i="1"/>
  <c r="K20" i="1"/>
  <c r="V19" i="1"/>
  <c r="W19" i="1" l="1"/>
  <c r="X19" i="1" l="1"/>
  <c r="U19" i="1"/>
  <c r="P19" i="1"/>
  <c r="K19" i="1"/>
  <c r="Y19" i="1" l="1"/>
  <c r="T23" i="1" l="1"/>
  <c r="T22" i="1"/>
  <c r="T21" i="1"/>
  <c r="T20" i="1" l="1"/>
  <c r="T19" i="1"/>
  <c r="T27" i="1" l="1"/>
  <c r="Y27" i="1" l="1"/>
  <c r="O27" i="1"/>
  <c r="Y26" i="1"/>
  <c r="T26" i="1"/>
  <c r="O26" i="1"/>
  <c r="Y25" i="1"/>
  <c r="T25" i="1"/>
  <c r="O25" i="1"/>
  <c r="Y24" i="1"/>
  <c r="T24" i="1"/>
  <c r="O24" i="1"/>
  <c r="Y23" i="1"/>
  <c r="O23" i="1"/>
  <c r="Y22" i="1"/>
  <c r="O22" i="1"/>
  <c r="Y21" i="1"/>
  <c r="O21" i="1"/>
  <c r="O20" i="1" l="1"/>
  <c r="Z21" i="1"/>
  <c r="Z24" i="1"/>
  <c r="AA24" i="1" s="1"/>
  <c r="Z25" i="1"/>
  <c r="AA25" i="1" s="1"/>
  <c r="Z26" i="1"/>
  <c r="AA26" i="1" s="1"/>
  <c r="Z27" i="1"/>
  <c r="AA27" i="1" s="1"/>
  <c r="O19" i="1"/>
  <c r="Z19" i="1" s="1"/>
  <c r="AA19" i="1" s="1"/>
  <c r="Z22" i="1"/>
  <c r="AA22" i="1" s="1"/>
  <c r="Z23" i="1"/>
  <c r="AA23" i="1" s="1"/>
  <c r="AA21" i="1" l="1"/>
  <c r="Z20" i="1"/>
  <c r="AA20" i="1" s="1"/>
  <c r="AD19" i="1"/>
</calcChain>
</file>

<file path=xl/sharedStrings.xml><?xml version="1.0" encoding="utf-8"?>
<sst xmlns="http://schemas.openxmlformats.org/spreadsheetml/2006/main" count="71" uniqueCount="65">
  <si>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</si>
  <si>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</si>
  <si>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</si>
  <si>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</si>
  <si>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</si>
  <si>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</si>
  <si>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</si>
  <si>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</si>
  <si>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</si>
  <si>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</si>
  <si>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</si>
  <si>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</si>
  <si>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</si>
  <si>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</si>
  <si>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</si>
  <si>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</si>
  <si>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</si>
  <si>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</si>
  <si>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</si>
  <si>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</si>
  <si>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>¨Registro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</si>
  <si>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</si>
  <si>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</si>
  <si>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</si>
  <si>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</si>
  <si>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>Resoluciones , notificaciones y edictos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</si>
  <si>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</si>
  <si>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</si>
  <si>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</si>
  <si>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</si>
  <si>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</si>
  <si>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</si>
  <si>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</si>
  <si>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</si>
  <si>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</si>
  <si>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</si>
  <si>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</si>
  <si>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</si>
  <si>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</si>
  <si>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</si>
  <si>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</si>
  <si>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</si>
  <si>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</si>
  <si>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</si>
  <si>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</si>
  <si>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</si>
  <si>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</si>
  <si>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</si>
  <si>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</si>
  <si>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</si>
  <si>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</si>
  <si>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</si>
  <si>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</si>
  <si>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</si>
  <si>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
títulos de derechos de propiedad intelectual</t>
  </si>
  <si>
    <t>EJECUCIÓN MENSUAL, CUATRIMESTRAL Y ANUAL,  POA 2024</t>
  </si>
  <si>
    <t>PRESUPUESTO VIGENTE 2024     EN  Q.</t>
  </si>
  <si>
    <t>PRESUPUESTO APROBADO DECRETO 54-2022 PARA EL EJERCICIO FISCAL 2023, VIGENTE PARA EL AÑO 2024.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</si>
  <si>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</si>
  <si>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</si>
  <si>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</si>
  <si>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Personas individuales y jurídicas beneficiadas con  servicios de registro de  patentes comerciales y títulos de propiedad intelectual</t>
  </si>
  <si>
    <t xml:space="preserve">        MINISTERIO DE ECONOMÍA 
MATRIZ DE PLANIFICACIÓN,  POA 2024</t>
  </si>
  <si>
    <t>50.88% DE EJECUCIÓN FINANCIERA Y FÍSICA</t>
  </si>
  <si>
    <t>RPI-MET-8-AGOSTO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</si>
</sst>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i/>
      <sz val="9.5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sz val="14"/>
      <name val="Arial"/>
      <family val="2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9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center"/>
    </xf>
    <xf numFmtId="0" fontId="30" fillId="0" borderId="0" xfId="1" applyFont="1"/>
    <xf numFmtId="0" fontId="5" fillId="2" borderId="1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justify" vertical="top" wrapText="1"/>
    </xf>
    <xf numFmtId="0" fontId="31" fillId="2" borderId="11" xfId="0" applyFont="1" applyFill="1" applyBorder="1" applyAlignment="1">
      <alignment horizontal="justify" vertical="top" wrapText="1"/>
    </xf>
    <xf numFmtId="0" fontId="31" fillId="2" borderId="12" xfId="0" applyFont="1" applyFill="1" applyBorder="1" applyAlignment="1">
      <alignment horizontal="justify" vertical="top" wrapText="1"/>
    </xf>
    <xf numFmtId="0" fontId="20" fillId="0" borderId="1" xfId="1" applyFont="1" applyBorder="1" applyAlignment="1">
      <alignment horizontal="center" vertical="top" wrapText="1"/>
    </xf>
    <xf numFmtId="0" fontId="32" fillId="2" borderId="1" xfId="4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18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22" fillId="7" borderId="3" xfId="1" applyFont="1" applyFill="1" applyBorder="1" applyAlignment="1">
      <alignment horizontal="center" vertical="center" wrapText="1"/>
    </xf>
    <xf numFmtId="0" fontId="22" fillId="7" borderId="5" xfId="1" applyFont="1" applyFill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27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2" fillId="10" borderId="3" xfId="1" applyFont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34" fillId="9" borderId="1" xfId="1" applyFont="1" applyFill="1" applyBorder="1" applyAlignment="1">
      <alignment horizontal="left"/>
    </xf>
    <xf numFmtId="0" fontId="23" fillId="3" borderId="9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22" fillId="9" borderId="3" xfId="1" applyFont="1" applyFill="1" applyBorder="1" applyAlignment="1">
      <alignment horizontal="left" vertical="center" wrapText="1"/>
    </xf>
    <xf numFmtId="0" fontId="22" fillId="9" borderId="5" xfId="1" applyFont="1" applyFill="1" applyBorder="1" applyAlignment="1">
      <alignment horizontal="left" vertical="center" wrapText="1"/>
    </xf>
    <xf numFmtId="0" fontId="22" fillId="9" borderId="4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justify" wrapText="1"/>
    </xf>
    <xf numFmtId="0" fontId="29" fillId="2" borderId="11" xfId="0" applyFont="1" applyFill="1" applyBorder="1" applyAlignment="1">
      <alignment horizontal="left" vertical="justify" wrapText="1"/>
    </xf>
    <xf numFmtId="0" fontId="29" fillId="2" borderId="12" xfId="0" applyFont="1" applyFill="1" applyBorder="1" applyAlignment="1">
      <alignment horizontal="left" vertical="justify" wrapText="1"/>
    </xf>
    <xf numFmtId="0" fontId="29" fillId="2" borderId="9" xfId="0" applyFont="1" applyFill="1" applyBorder="1" applyAlignment="1">
      <alignment horizontal="left" vertical="justify" wrapText="1"/>
    </xf>
    <xf numFmtId="0" fontId="29" fillId="2" borderId="2" xfId="0" applyFont="1" applyFill="1" applyBorder="1" applyAlignment="1">
      <alignment horizontal="left" vertical="justify" wrapText="1"/>
    </xf>
    <xf numFmtId="0" fontId="29" fillId="2" borderId="8" xfId="0" applyFont="1" applyFill="1" applyBorder="1" applyAlignment="1">
      <alignment horizontal="left" vertical="justify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left" vertical="top" wrapText="1"/>
    </xf>
    <xf numFmtId="0" fontId="21" fillId="5" borderId="3" xfId="0" applyFont="1" applyFill="1" applyBorder="1" applyAlignment="1">
      <alignment horizontal="justify" vertical="justify" wrapText="1"/>
    </xf>
    <xf numFmtId="0" fontId="21" fillId="5" borderId="5" xfId="0" applyFont="1" applyFill="1" applyBorder="1" applyAlignment="1">
      <alignment horizontal="justify" vertical="justify" wrapText="1"/>
    </xf>
    <xf numFmtId="0" fontId="21" fillId="5" borderId="4" xfId="0" applyFont="1" applyFill="1" applyBorder="1" applyAlignment="1">
      <alignment horizontal="justify" vertical="justify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3</xdr:row>
      <xdr:rowOff>0</xdr:rowOff>
    </xdr:from>
    <xdr:to>
      <xdr:col>4</xdr:col>
      <xdr:colOff>320387</xdr:colOff>
      <xdr:row>3</xdr:row>
      <xdr:rowOff>34636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28FAA1-A21A-D315-2506-E22BEE144619}"/>
            </a:ext>
          </a:extLst>
        </xdr:cNvPr>
        <xdr:cNvSpPr/>
      </xdr:nvSpPr>
      <xdr:spPr>
        <a:xfrm>
          <a:off x="528205" y="528205"/>
          <a:ext cx="1168977" cy="164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50829</xdr:colOff>
      <xdr:row>1</xdr:row>
      <xdr:rowOff>155864</xdr:rowOff>
    </xdr:from>
    <xdr:to>
      <xdr:col>5</xdr:col>
      <xdr:colOff>530543</xdr:colOff>
      <xdr:row>4</xdr:row>
      <xdr:rowOff>102989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38753-256B-4153-AAE3-E890633F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9" y="320387"/>
          <a:ext cx="2228850" cy="8303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7"/>
  <sheetViews>
    <sheetView showGridLines="0" showZeros="0" tabSelected="1" topLeftCell="B1" zoomScale="110" zoomScaleNormal="110" zoomScaleSheetLayoutView="115" zoomScalePageLayoutView="70" workbookViewId="0">
      <selection activeCell="B3" sqref="B3:AC3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5.140625" style="1" customWidth="1"/>
    <col min="8" max="8" width="13.140625" style="1" customWidth="1"/>
    <col min="9" max="9" width="9.28515625" style="1" customWidth="1"/>
    <col min="10" max="10" width="10.28515625" style="1" customWidth="1"/>
    <col min="11" max="12" width="7" style="1" hidden="1" customWidth="1"/>
    <col min="13" max="13" width="7.5703125" style="1" hidden="1" customWidth="1"/>
    <col min="14" max="14" width="7.140625" style="1" hidden="1" customWidth="1"/>
    <col min="15" max="15" width="15.5703125" style="1" hidden="1" customWidth="1"/>
    <col min="16" max="16" width="8.28515625" style="1" hidden="1" customWidth="1"/>
    <col min="17" max="17" width="7.140625" style="1" hidden="1" customWidth="1"/>
    <col min="18" max="18" width="8.28515625" style="1" hidden="1" customWidth="1"/>
    <col min="19" max="19" width="7.85546875" style="1" customWidth="1"/>
    <col min="20" max="20" width="14.85546875" style="1" customWidth="1"/>
    <col min="21" max="21" width="7.7109375" style="1" hidden="1" customWidth="1"/>
    <col min="22" max="22" width="7.1406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7" width="12.28515625" style="1" customWidth="1"/>
    <col min="28" max="28" width="17.42578125" style="1" customWidth="1"/>
    <col min="29" max="29" width="25.42578125" style="1" customWidth="1"/>
    <col min="30" max="30" width="27.140625" style="1" hidden="1" customWidth="1"/>
    <col min="31" max="16384" width="11.42578125" style="1"/>
  </cols>
  <sheetData>
    <row r="2" spans="2:29" ht="18" x14ac:dyDescent="0.25">
      <c r="B2" s="40" t="s">
        <v>64</v>
      </c>
    </row>
    <row r="3" spans="2:29" ht="35.25" customHeight="1" x14ac:dyDescent="0.2">
      <c r="B3" s="78" t="s">
        <v>62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</row>
    <row r="4" spans="2:29" ht="16.5" customHeight="1" x14ac:dyDescent="0.2">
      <c r="B4" s="81" t="s">
        <v>43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</row>
    <row r="5" spans="2:29" s="2" customFormat="1" ht="19.5" customHeight="1" x14ac:dyDescent="0.2">
      <c r="B5" s="49" t="s">
        <v>40</v>
      </c>
      <c r="C5" s="49"/>
      <c r="D5" s="49"/>
      <c r="E5" s="87" t="s"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2:29" s="2" customFormat="1" ht="30" customHeight="1" x14ac:dyDescent="0.2">
      <c r="B6" s="48" t="s">
        <v>41</v>
      </c>
      <c r="C6" s="48"/>
      <c r="D6" s="48"/>
      <c r="E6" s="88" t="s">
        <v>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2:29" s="2" customFormat="1" ht="14.25" customHeight="1" x14ac:dyDescent="0.2">
      <c r="B7" s="50" t="s">
        <v>42</v>
      </c>
      <c r="C7" s="50"/>
      <c r="D7" s="50"/>
      <c r="E7" s="89" t="s">
        <v>26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1"/>
    </row>
    <row r="8" spans="2:29" s="2" customFormat="1" ht="68.25" customHeight="1" x14ac:dyDescent="0.2">
      <c r="B8" s="92" t="s">
        <v>2</v>
      </c>
      <c r="C8" s="93"/>
      <c r="D8" s="94"/>
      <c r="E8" s="98" t="s">
        <v>60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</row>
    <row r="9" spans="2:29" ht="144.75" customHeight="1" x14ac:dyDescent="0.2">
      <c r="B9" s="95"/>
      <c r="C9" s="96"/>
      <c r="D9" s="97"/>
      <c r="E9" s="101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</row>
    <row r="10" spans="2:29" ht="17.25" customHeight="1" x14ac:dyDescent="0.2">
      <c r="B10" s="84" t="s">
        <v>45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2:29" s="2" customFormat="1" ht="18" customHeight="1" x14ac:dyDescent="0.2">
      <c r="B11" s="57" t="s">
        <v>34</v>
      </c>
      <c r="C11" s="57"/>
      <c r="D11" s="57"/>
      <c r="E11" s="57"/>
      <c r="F11" s="58" t="s">
        <v>44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</row>
    <row r="12" spans="2:29" s="2" customFormat="1" ht="21" customHeight="1" x14ac:dyDescent="0.2">
      <c r="B12" s="61" t="s">
        <v>27</v>
      </c>
      <c r="C12" s="61"/>
      <c r="D12" s="61"/>
      <c r="E12" s="61"/>
      <c r="F12" s="51" t="s">
        <v>58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3"/>
    </row>
    <row r="13" spans="2:29" s="2" customFormat="1" ht="19.5" customHeight="1" x14ac:dyDescent="0.2">
      <c r="B13" s="62" t="s">
        <v>46</v>
      </c>
      <c r="C13" s="63"/>
      <c r="D13" s="63"/>
      <c r="E13" s="64"/>
      <c r="F13" s="65" t="s">
        <v>59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2:29" s="2" customFormat="1" ht="22.5" customHeight="1" x14ac:dyDescent="0.2">
      <c r="B14" s="68" t="s">
        <v>38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38"/>
    </row>
    <row r="15" spans="2:29" s="2" customFormat="1" ht="48.75" customHeight="1" x14ac:dyDescent="0.2">
      <c r="B15" s="70" t="s">
        <v>35</v>
      </c>
      <c r="C15" s="70"/>
      <c r="D15" s="70"/>
      <c r="E15" s="70"/>
      <c r="F15" s="110" t="s">
        <v>53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</row>
    <row r="16" spans="2:29" s="2" customFormat="1" ht="15.75" customHeight="1" x14ac:dyDescent="0.2">
      <c r="B16" s="70" t="s">
        <v>36</v>
      </c>
      <c r="C16" s="70"/>
      <c r="D16" s="70"/>
      <c r="E16" s="70"/>
      <c r="F16" s="107" t="s">
        <v>37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</row>
    <row r="17" spans="2:30" ht="21" customHeight="1" x14ac:dyDescent="0.2">
      <c r="B17" s="30"/>
      <c r="C17" s="54" t="s">
        <v>55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/>
    </row>
    <row r="18" spans="2:30" ht="51" customHeight="1" x14ac:dyDescent="0.2">
      <c r="B18" s="33" t="s">
        <v>39</v>
      </c>
      <c r="C18" s="72" t="s">
        <v>28</v>
      </c>
      <c r="D18" s="73"/>
      <c r="E18" s="74"/>
      <c r="F18" s="34" t="s">
        <v>29</v>
      </c>
      <c r="G18" s="37" t="s">
        <v>4</v>
      </c>
      <c r="H18" s="36" t="s">
        <v>3</v>
      </c>
      <c r="I18" s="35" t="s">
        <v>30</v>
      </c>
      <c r="J18" s="35" t="s">
        <v>48</v>
      </c>
      <c r="K18" s="4" t="s">
        <v>5</v>
      </c>
      <c r="L18" s="22" t="s">
        <v>6</v>
      </c>
      <c r="M18" s="4" t="s">
        <v>7</v>
      </c>
      <c r="N18" s="4" t="s">
        <v>8</v>
      </c>
      <c r="O18" s="18" t="s">
        <v>49</v>
      </c>
      <c r="P18" s="5" t="s">
        <v>9</v>
      </c>
      <c r="Q18" s="5" t="s">
        <v>10</v>
      </c>
      <c r="R18" s="5" t="s">
        <v>11</v>
      </c>
      <c r="S18" s="5" t="s">
        <v>12</v>
      </c>
      <c r="T18" s="18" t="s">
        <v>50</v>
      </c>
      <c r="U18" s="5" t="s">
        <v>13</v>
      </c>
      <c r="V18" s="5" t="s">
        <v>14</v>
      </c>
      <c r="W18" s="5" t="s">
        <v>15</v>
      </c>
      <c r="X18" s="5" t="s">
        <v>16</v>
      </c>
      <c r="Y18" s="18" t="s">
        <v>51</v>
      </c>
      <c r="Z18" s="31" t="s">
        <v>31</v>
      </c>
      <c r="AA18" s="31" t="s">
        <v>32</v>
      </c>
      <c r="AB18" s="32" t="s">
        <v>56</v>
      </c>
      <c r="AC18" s="31" t="s">
        <v>33</v>
      </c>
    </row>
    <row r="19" spans="2:30" ht="64.5" customHeight="1" x14ac:dyDescent="0.2">
      <c r="B19" s="41">
        <v>3</v>
      </c>
      <c r="C19" s="104" t="s">
        <v>61</v>
      </c>
      <c r="D19" s="105"/>
      <c r="E19" s="106"/>
      <c r="F19" s="9"/>
      <c r="G19" s="7"/>
      <c r="H19" s="7" t="s">
        <v>17</v>
      </c>
      <c r="I19" s="12">
        <f>SUM(I21:I23)</f>
        <v>30000</v>
      </c>
      <c r="J19" s="16">
        <f>+J21+J22+J23</f>
        <v>31505</v>
      </c>
      <c r="K19" s="12">
        <f>+K21+K22+K23</f>
        <v>2827</v>
      </c>
      <c r="L19" s="12">
        <f>+L21+L22+L23</f>
        <v>3406</v>
      </c>
      <c r="M19" s="12">
        <f t="shared" ref="M19:N19" si="0">+M21+M22+M23</f>
        <v>1884</v>
      </c>
      <c r="N19" s="12">
        <f t="shared" si="0"/>
        <v>2430</v>
      </c>
      <c r="O19" s="12">
        <f>SUM(O21:O23)</f>
        <v>10547</v>
      </c>
      <c r="P19" s="12">
        <f t="shared" ref="P19:S19" si="1">+P21+P22+P23</f>
        <v>2430</v>
      </c>
      <c r="Q19" s="12">
        <f t="shared" si="1"/>
        <v>2435</v>
      </c>
      <c r="R19" s="12">
        <f t="shared" si="1"/>
        <v>2703</v>
      </c>
      <c r="S19" s="12">
        <f t="shared" si="1"/>
        <v>2515</v>
      </c>
      <c r="T19" s="12">
        <f>SUM(T21:T23)</f>
        <v>10083</v>
      </c>
      <c r="U19" s="12">
        <f t="shared" ref="U19" si="2">+U21+U22+U23</f>
        <v>0</v>
      </c>
      <c r="V19" s="12">
        <f t="shared" ref="V19" si="3">+V21+V22+V23</f>
        <v>0</v>
      </c>
      <c r="W19" s="12">
        <f>+W21+W22+W23</f>
        <v>0</v>
      </c>
      <c r="X19" s="12">
        <f t="shared" ref="X19" si="4">+X21+X22+X23</f>
        <v>0</v>
      </c>
      <c r="Y19" s="12">
        <f>SUM(U19:X19)</f>
        <v>0</v>
      </c>
      <c r="Z19" s="12">
        <f>SUM(O19+T19+Y19)</f>
        <v>20630</v>
      </c>
      <c r="AA19" s="20">
        <f>SUM(Z19/J19)</f>
        <v>0.65481669576257739</v>
      </c>
      <c r="AB19" s="6">
        <v>18902732</v>
      </c>
      <c r="AC19" s="21" t="s">
        <v>63</v>
      </c>
      <c r="AD19" s="25">
        <f>1754+1754+1753+1753+719+719+720+720</f>
        <v>9892</v>
      </c>
    </row>
    <row r="20" spans="2:30" ht="48.75" customHeight="1" x14ac:dyDescent="0.2">
      <c r="B20" s="41"/>
      <c r="C20" s="42"/>
      <c r="D20" s="43"/>
      <c r="E20" s="44"/>
      <c r="F20" s="47" t="s">
        <v>54</v>
      </c>
      <c r="G20" s="7"/>
      <c r="H20" s="7" t="s">
        <v>17</v>
      </c>
      <c r="I20" s="12">
        <v>30000</v>
      </c>
      <c r="J20" s="12">
        <v>31505</v>
      </c>
      <c r="K20" s="12">
        <f>+K21+K22+K23</f>
        <v>2827</v>
      </c>
      <c r="L20" s="12">
        <f>+L21+L22+L23</f>
        <v>3406</v>
      </c>
      <c r="M20" s="12">
        <f t="shared" ref="M20:N20" si="5">+M21+M22+M23</f>
        <v>1884</v>
      </c>
      <c r="N20" s="12">
        <f t="shared" si="5"/>
        <v>2430</v>
      </c>
      <c r="O20" s="12">
        <f>+O21+O22+O23</f>
        <v>10547</v>
      </c>
      <c r="P20" s="12">
        <f>+P21+P22+P23</f>
        <v>2430</v>
      </c>
      <c r="Q20" s="12">
        <f>+Q21+Q22+Q23</f>
        <v>2435</v>
      </c>
      <c r="R20" s="12">
        <f t="shared" ref="R20:S20" si="6">+R21+R22+R23</f>
        <v>2703</v>
      </c>
      <c r="S20" s="12">
        <f t="shared" si="6"/>
        <v>2515</v>
      </c>
      <c r="T20" s="12">
        <f>SUM(T21:T23)</f>
        <v>10083</v>
      </c>
      <c r="U20" s="12"/>
      <c r="V20" s="12"/>
      <c r="W20" s="12"/>
      <c r="X20" s="12"/>
      <c r="Y20" s="12"/>
      <c r="Z20" s="12">
        <f>+Z21+Z22+Z23</f>
        <v>20630</v>
      </c>
      <c r="AA20" s="20">
        <f>SUM(Z20/J20)</f>
        <v>0.65481669576257739</v>
      </c>
      <c r="AB20" s="6"/>
      <c r="AC20" s="45"/>
      <c r="AD20" s="29"/>
    </row>
    <row r="21" spans="2:30" ht="31.5" customHeight="1" x14ac:dyDescent="0.2">
      <c r="B21" s="3"/>
      <c r="C21" s="26"/>
      <c r="D21" s="27"/>
      <c r="E21" s="28"/>
      <c r="F21" s="7"/>
      <c r="G21" s="46" t="s">
        <v>19</v>
      </c>
      <c r="H21" s="10" t="s">
        <v>20</v>
      </c>
      <c r="I21" s="23">
        <v>22000</v>
      </c>
      <c r="J21" s="15">
        <f>22000+1088</f>
        <v>23088</v>
      </c>
      <c r="K21" s="11">
        <f>2857-14-1481</f>
        <v>1362</v>
      </c>
      <c r="L21" s="11">
        <f>3406-1004-98</f>
        <v>2304</v>
      </c>
      <c r="M21" s="11">
        <v>1085</v>
      </c>
      <c r="N21" s="11">
        <f>2430-21-720</f>
        <v>1689</v>
      </c>
      <c r="O21" s="11">
        <f t="shared" ref="O21:O27" si="7">SUM(K21:N21)</f>
        <v>6440</v>
      </c>
      <c r="P21" s="11">
        <f>2430-28-533</f>
        <v>1869</v>
      </c>
      <c r="Q21" s="11">
        <f>2435-664-24</f>
        <v>1747</v>
      </c>
      <c r="R21" s="11">
        <f>2703-493-27</f>
        <v>2183</v>
      </c>
      <c r="S21" s="11">
        <f>2515-21-655</f>
        <v>1839</v>
      </c>
      <c r="T21" s="11">
        <f>SUM(P21:S21)</f>
        <v>7638</v>
      </c>
      <c r="U21" s="11"/>
      <c r="V21" s="11"/>
      <c r="W21" s="11"/>
      <c r="X21" s="11"/>
      <c r="Y21" s="11">
        <f t="shared" ref="Y21:Y27" si="8">SUM(U21:X21)</f>
        <v>0</v>
      </c>
      <c r="Z21" s="11">
        <f>SUM(O21+T21+Y21)</f>
        <v>14078</v>
      </c>
      <c r="AA21" s="19">
        <f>SUM(Z21/J21)</f>
        <v>0.60975398475398479</v>
      </c>
      <c r="AB21" s="6"/>
      <c r="AC21" s="6"/>
      <c r="AD21" s="29"/>
    </row>
    <row r="22" spans="2:30" ht="40.5" customHeight="1" x14ac:dyDescent="0.2">
      <c r="B22" s="3"/>
      <c r="C22" s="26"/>
      <c r="D22" s="27"/>
      <c r="E22" s="28"/>
      <c r="F22" s="13"/>
      <c r="G22" s="46" t="s">
        <v>21</v>
      </c>
      <c r="H22" s="10" t="s">
        <v>20</v>
      </c>
      <c r="I22" s="23">
        <v>2700</v>
      </c>
      <c r="J22" s="15">
        <v>2117</v>
      </c>
      <c r="K22" s="11">
        <v>14</v>
      </c>
      <c r="L22" s="11">
        <v>98</v>
      </c>
      <c r="M22" s="11">
        <v>102</v>
      </c>
      <c r="N22" s="11">
        <v>21</v>
      </c>
      <c r="O22" s="11">
        <f t="shared" si="7"/>
        <v>235</v>
      </c>
      <c r="P22" s="11">
        <v>28</v>
      </c>
      <c r="Q22" s="11">
        <v>24</v>
      </c>
      <c r="R22" s="11">
        <v>27</v>
      </c>
      <c r="S22" s="11">
        <v>21</v>
      </c>
      <c r="T22" s="11">
        <f>SUM(P22:S22)</f>
        <v>100</v>
      </c>
      <c r="U22" s="11"/>
      <c r="V22" s="11"/>
      <c r="W22" s="11"/>
      <c r="X22" s="11"/>
      <c r="Y22" s="11">
        <f t="shared" si="8"/>
        <v>0</v>
      </c>
      <c r="Z22" s="11">
        <f t="shared" ref="Z22:Z27" si="9">SUM(O22+T22+Y22)</f>
        <v>335</v>
      </c>
      <c r="AA22" s="19">
        <f t="shared" ref="AA22:AA27" si="10">SUM(Z22/J22)</f>
        <v>0.15824279641001418</v>
      </c>
      <c r="AB22" s="6"/>
      <c r="AC22" s="6"/>
      <c r="AD22" s="29"/>
    </row>
    <row r="23" spans="2:30" ht="40.5" customHeight="1" x14ac:dyDescent="0.2">
      <c r="B23" s="3"/>
      <c r="C23" s="26"/>
      <c r="D23" s="27"/>
      <c r="E23" s="28"/>
      <c r="F23" s="13"/>
      <c r="G23" s="46" t="s">
        <v>22</v>
      </c>
      <c r="H23" s="10" t="s">
        <v>20</v>
      </c>
      <c r="I23" s="23">
        <v>5300</v>
      </c>
      <c r="J23" s="15">
        <f>5300+1000</f>
        <v>6300</v>
      </c>
      <c r="K23" s="11">
        <f>23+28+1400</f>
        <v>1451</v>
      </c>
      <c r="L23" s="11">
        <f>1102-98</f>
        <v>1004</v>
      </c>
      <c r="M23" s="11">
        <v>697</v>
      </c>
      <c r="N23" s="11">
        <v>720</v>
      </c>
      <c r="O23" s="11">
        <f t="shared" si="7"/>
        <v>3872</v>
      </c>
      <c r="P23" s="11">
        <f>57+139+337</f>
        <v>533</v>
      </c>
      <c r="Q23" s="11">
        <f>521+98+45</f>
        <v>664</v>
      </c>
      <c r="R23" s="11">
        <v>493</v>
      </c>
      <c r="S23" s="11">
        <f>47+608</f>
        <v>655</v>
      </c>
      <c r="T23" s="11">
        <f>SUM(P23:S23)</f>
        <v>2345</v>
      </c>
      <c r="U23" s="11"/>
      <c r="V23" s="11"/>
      <c r="W23" s="11"/>
      <c r="X23" s="11"/>
      <c r="Y23" s="11">
        <f t="shared" si="8"/>
        <v>0</v>
      </c>
      <c r="Z23" s="11">
        <f t="shared" si="9"/>
        <v>6217</v>
      </c>
      <c r="AA23" s="19">
        <f t="shared" si="10"/>
        <v>0.98682539682539683</v>
      </c>
      <c r="AB23" s="6"/>
      <c r="AC23" s="6"/>
      <c r="AD23" s="29"/>
    </row>
    <row r="24" spans="2:30" ht="42" customHeight="1" x14ac:dyDescent="0.2">
      <c r="B24" s="3"/>
      <c r="C24" s="75"/>
      <c r="D24" s="76"/>
      <c r="E24" s="77"/>
      <c r="F24" s="17"/>
      <c r="G24" s="46" t="s">
        <v>23</v>
      </c>
      <c r="H24" s="10" t="s">
        <v>20</v>
      </c>
      <c r="I24" s="23">
        <v>1800</v>
      </c>
      <c r="J24" s="15">
        <v>1800</v>
      </c>
      <c r="K24" s="11">
        <v>181</v>
      </c>
      <c r="L24" s="11">
        <v>134</v>
      </c>
      <c r="M24" s="11">
        <v>160</v>
      </c>
      <c r="N24" s="11">
        <v>164</v>
      </c>
      <c r="O24" s="15">
        <f t="shared" si="7"/>
        <v>639</v>
      </c>
      <c r="P24" s="15">
        <v>171</v>
      </c>
      <c r="Q24" s="15">
        <v>142</v>
      </c>
      <c r="R24" s="15">
        <v>159</v>
      </c>
      <c r="S24" s="15">
        <v>139</v>
      </c>
      <c r="T24" s="15">
        <f t="shared" ref="T24:T26" si="11">SUM(P24:S24)</f>
        <v>611</v>
      </c>
      <c r="U24" s="15"/>
      <c r="V24" s="15"/>
      <c r="W24" s="15"/>
      <c r="X24" s="15"/>
      <c r="Y24" s="15">
        <f t="shared" si="8"/>
        <v>0</v>
      </c>
      <c r="Z24" s="11">
        <f t="shared" si="9"/>
        <v>1250</v>
      </c>
      <c r="AA24" s="19">
        <f t="shared" si="10"/>
        <v>0.69444444444444442</v>
      </c>
      <c r="AB24" s="12" t="s">
        <v>52</v>
      </c>
      <c r="AC24" s="8"/>
    </row>
    <row r="25" spans="2:30" ht="24" x14ac:dyDescent="0.2">
      <c r="B25" s="3"/>
      <c r="C25" s="75"/>
      <c r="D25" s="76"/>
      <c r="E25" s="77"/>
      <c r="F25" s="17"/>
      <c r="G25" s="46" t="s">
        <v>24</v>
      </c>
      <c r="H25" s="10" t="s">
        <v>18</v>
      </c>
      <c r="I25" s="11">
        <v>12720</v>
      </c>
      <c r="J25" s="15">
        <v>12720</v>
      </c>
      <c r="K25" s="11">
        <v>837</v>
      </c>
      <c r="L25" s="11">
        <v>976</v>
      </c>
      <c r="M25" s="11">
        <v>781</v>
      </c>
      <c r="N25" s="11">
        <v>1413</v>
      </c>
      <c r="O25" s="15">
        <f t="shared" si="7"/>
        <v>4007</v>
      </c>
      <c r="P25" s="15">
        <v>1322</v>
      </c>
      <c r="Q25" s="15">
        <v>1124</v>
      </c>
      <c r="R25" s="15">
        <v>1132</v>
      </c>
      <c r="S25" s="15"/>
      <c r="T25" s="15">
        <f t="shared" si="11"/>
        <v>3578</v>
      </c>
      <c r="U25" s="15"/>
      <c r="V25" s="15"/>
      <c r="W25" s="15"/>
      <c r="X25" s="15"/>
      <c r="Y25" s="15">
        <f t="shared" si="8"/>
        <v>0</v>
      </c>
      <c r="Z25" s="11">
        <f t="shared" si="9"/>
        <v>7585</v>
      </c>
      <c r="AA25" s="19">
        <f t="shared" si="10"/>
        <v>0.5963050314465409</v>
      </c>
      <c r="AB25" s="14"/>
      <c r="AC25" s="14"/>
    </row>
    <row r="26" spans="2:30" ht="32.25" customHeight="1" x14ac:dyDescent="0.2">
      <c r="B26" s="3"/>
      <c r="C26" s="75"/>
      <c r="D26" s="76"/>
      <c r="E26" s="77"/>
      <c r="F26" s="17"/>
      <c r="G26" s="46" t="s">
        <v>25</v>
      </c>
      <c r="H26" s="10" t="s">
        <v>18</v>
      </c>
      <c r="I26" s="11">
        <v>20800</v>
      </c>
      <c r="J26" s="15">
        <v>20800</v>
      </c>
      <c r="K26" s="11">
        <f>866+668+8</f>
        <v>1542</v>
      </c>
      <c r="L26" s="11">
        <f>966+1463+3</f>
        <v>2432</v>
      </c>
      <c r="M26" s="11">
        <f>828+603</f>
        <v>1431</v>
      </c>
      <c r="N26" s="11">
        <f>1466+7+877</f>
        <v>2350</v>
      </c>
      <c r="O26" s="15">
        <f t="shared" si="7"/>
        <v>7755</v>
      </c>
      <c r="P26" s="15">
        <f>10+762+1+15+1277</f>
        <v>2065</v>
      </c>
      <c r="Q26" s="15">
        <f>5+756+1029</f>
        <v>1790</v>
      </c>
      <c r="R26" s="15">
        <f>1145+3+1218</f>
        <v>2366</v>
      </c>
      <c r="S26" s="15">
        <f>1185+932</f>
        <v>2117</v>
      </c>
      <c r="T26" s="15">
        <f t="shared" si="11"/>
        <v>8338</v>
      </c>
      <c r="U26" s="15"/>
      <c r="V26" s="15"/>
      <c r="W26" s="15"/>
      <c r="X26" s="15"/>
      <c r="Y26" s="15">
        <f t="shared" si="8"/>
        <v>0</v>
      </c>
      <c r="Z26" s="11">
        <f t="shared" si="9"/>
        <v>16093</v>
      </c>
      <c r="AA26" s="19">
        <f t="shared" si="10"/>
        <v>0.77370192307692309</v>
      </c>
      <c r="AB26" s="14"/>
      <c r="AC26" s="14"/>
    </row>
    <row r="27" spans="2:30" ht="22.5" customHeight="1" x14ac:dyDescent="0.2">
      <c r="B27" s="3"/>
      <c r="C27" s="75"/>
      <c r="D27" s="76"/>
      <c r="E27" s="77"/>
      <c r="F27" s="17"/>
      <c r="G27" s="46" t="s">
        <v>47</v>
      </c>
      <c r="H27" s="10" t="s">
        <v>18</v>
      </c>
      <c r="I27" s="11">
        <v>1280</v>
      </c>
      <c r="J27" s="15">
        <f>1280+2220</f>
        <v>3500</v>
      </c>
      <c r="K27" s="11">
        <v>267</v>
      </c>
      <c r="L27" s="11">
        <v>307</v>
      </c>
      <c r="M27" s="11">
        <v>308</v>
      </c>
      <c r="N27" s="11">
        <v>336</v>
      </c>
      <c r="O27" s="15">
        <f t="shared" si="7"/>
        <v>1218</v>
      </c>
      <c r="P27" s="15">
        <v>436</v>
      </c>
      <c r="Q27" s="15">
        <v>275</v>
      </c>
      <c r="R27" s="15">
        <v>291</v>
      </c>
      <c r="S27" s="15">
        <f>295+6+7</f>
        <v>308</v>
      </c>
      <c r="T27" s="15">
        <f>SUM(P27:S27)</f>
        <v>1310</v>
      </c>
      <c r="U27" s="15"/>
      <c r="V27" s="15"/>
      <c r="W27" s="15"/>
      <c r="X27" s="15"/>
      <c r="Y27" s="15">
        <f t="shared" si="8"/>
        <v>0</v>
      </c>
      <c r="Z27" s="11">
        <f t="shared" si="9"/>
        <v>2528</v>
      </c>
      <c r="AA27" s="19">
        <f t="shared" si="10"/>
        <v>0.72228571428571431</v>
      </c>
      <c r="AB27" s="14"/>
      <c r="AC27" s="14"/>
    </row>
    <row r="28" spans="2:30" ht="17.25" customHeight="1" x14ac:dyDescent="0.3">
      <c r="B28" s="39"/>
      <c r="C28" s="71" t="s">
        <v>57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39"/>
    </row>
    <row r="29" spans="2:30" x14ac:dyDescent="0.2">
      <c r="R29" s="2"/>
    </row>
    <row r="30" spans="2:30" x14ac:dyDescent="0.2">
      <c r="R30" s="2"/>
      <c r="T30" s="24"/>
    </row>
    <row r="31" spans="2:30" x14ac:dyDescent="0.2">
      <c r="R31" s="2"/>
    </row>
    <row r="32" spans="2:30" x14ac:dyDescent="0.2">
      <c r="R32" s="2"/>
    </row>
    <row r="33" spans="18:23" x14ac:dyDescent="0.2">
      <c r="R33" s="2"/>
      <c r="W33" s="24"/>
    </row>
    <row r="34" spans="18:23" x14ac:dyDescent="0.2">
      <c r="R34" s="2"/>
    </row>
    <row r="35" spans="18:23" x14ac:dyDescent="0.2">
      <c r="R35" s="2"/>
    </row>
    <row r="36" spans="18:23" x14ac:dyDescent="0.2">
      <c r="R36" s="2"/>
    </row>
    <row r="37" spans="18:23" x14ac:dyDescent="0.2">
      <c r="R37" s="2"/>
    </row>
  </sheetData>
  <mergeCells count="30">
    <mergeCell ref="C26:E26"/>
    <mergeCell ref="B8:D9"/>
    <mergeCell ref="E8:AC9"/>
    <mergeCell ref="C27:E27"/>
    <mergeCell ref="B14:AB14"/>
    <mergeCell ref="B16:E16"/>
    <mergeCell ref="C19:E19"/>
    <mergeCell ref="B15:E15"/>
    <mergeCell ref="F16:AC16"/>
    <mergeCell ref="C17:AC17"/>
    <mergeCell ref="C18:E18"/>
    <mergeCell ref="F15:AC15"/>
    <mergeCell ref="C24:E24"/>
    <mergeCell ref="C25:E25"/>
    <mergeCell ref="B3:AC3"/>
    <mergeCell ref="B4:AC4"/>
    <mergeCell ref="C28:AB28"/>
    <mergeCell ref="B12:E12"/>
    <mergeCell ref="B10:AC10"/>
    <mergeCell ref="B5:D5"/>
    <mergeCell ref="B6:D6"/>
    <mergeCell ref="B7:D7"/>
    <mergeCell ref="E5:AC5"/>
    <mergeCell ref="E6:AC6"/>
    <mergeCell ref="E7:AC7"/>
    <mergeCell ref="F11:AC11"/>
    <mergeCell ref="F12:AC12"/>
    <mergeCell ref="B11:E11"/>
    <mergeCell ref="B13:E13"/>
    <mergeCell ref="F13:AC13"/>
  </mergeCells>
  <printOptions horizontalCentered="1"/>
  <pageMargins left="0.9055118110236221" right="0.31496062992125984" top="0.15748031496062992" bottom="1.7716535433070868" header="0.31496062992125984" footer="0.31496062992125984"/>
  <pageSetup scale="51" orientation="landscape" horizontalDpi="360" verticalDpi="360" r:id="rId1"/>
  <headerFooter scaleWithDoc="0" alignWithMargins="0"/>
  <rowBreaks count="1" manualBreakCount="1">
    <brk id="9" max="16383" man="1"/>
  </rowBreaks>
  <ignoredErrors>
    <ignoredError sqref="O22 O24:O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2024-08-30T16:46:07Z</cp:lastPrinted>
  <dcterms:created xsi:type="dcterms:W3CDTF">2019-01-08T14:24:40Z</dcterms:created>
  <dcterms:modified xsi:type="dcterms:W3CDTF">2024-09-05T19:23:36Z</dcterms:modified>
</cp:coreProperties>
</file>