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28800" windowHeight="12225" activeTab="2"/>
  </bookViews>
  <sheets>
    <sheet name="MATRIZ 2022" sheetId="6" r:id="rId1"/>
    <sheet name="MATRIZ 2024" sheetId="4" r:id="rId2"/>
    <sheet name="EJECUCION" sheetId="8" r:id="rId3"/>
    <sheet name="REPROGRAMACIÓN" sheetId="9" r:id="rId4"/>
  </sheets>
  <definedNames>
    <definedName name="_xlnm.Print_Area" localSheetId="2">EJECUCION!$B$4:$AB$45</definedName>
    <definedName name="_xlnm.Print_Area" localSheetId="0">'MATRIZ 2022'!$B$4:$AB$45</definedName>
    <definedName name="_xlnm.Print_Area" localSheetId="1">'MATRIZ 2024'!$B$4:$AB$45</definedName>
    <definedName name="_xlnm.Print_Area" localSheetId="3">REPROGRAMACIÓN!$B$4:$AB$45</definedName>
  </definedNames>
  <calcPr calcId="191029"/>
</workbook>
</file>

<file path=xl/calcChain.xml><?xml version="1.0" encoding="utf-8"?>
<calcChain xmlns="http://schemas.openxmlformats.org/spreadsheetml/2006/main">
  <c r="T23" i="9" l="1"/>
  <c r="S24" i="9"/>
  <c r="S22" i="9" l="1"/>
  <c r="S23" i="9"/>
  <c r="R23" i="9" l="1"/>
  <c r="R22" i="9"/>
  <c r="R26" i="9"/>
  <c r="R24" i="9"/>
  <c r="R22" i="8"/>
  <c r="R23" i="8" s="1"/>
  <c r="R26" i="8"/>
  <c r="R24" i="8"/>
  <c r="Q26" i="9" l="1"/>
  <c r="Q24" i="9"/>
  <c r="Q23" i="9" s="1"/>
  <c r="Q23" i="8"/>
  <c r="Q22" i="8"/>
  <c r="Q26" i="8"/>
  <c r="Q24" i="8"/>
  <c r="Q22" i="9" l="1"/>
  <c r="P22" i="9" l="1"/>
  <c r="P23" i="9" s="1"/>
  <c r="P26" i="9"/>
  <c r="P24" i="9"/>
  <c r="P22" i="8" l="1"/>
  <c r="P23" i="8" s="1"/>
  <c r="P26" i="8"/>
  <c r="P24" i="8"/>
  <c r="I23" i="9" l="1"/>
  <c r="J23" i="9"/>
  <c r="F22" i="4" l="1"/>
  <c r="N23" i="9"/>
  <c r="N22" i="9"/>
  <c r="N26" i="9"/>
  <c r="N24" i="9"/>
  <c r="N23" i="8"/>
  <c r="N22" i="8"/>
  <c r="N26" i="8"/>
  <c r="N24" i="8"/>
  <c r="M23" i="9" l="1"/>
  <c r="M22" i="9"/>
  <c r="M26" i="9"/>
  <c r="M24" i="9"/>
  <c r="M23" i="8"/>
  <c r="M22" i="8"/>
  <c r="M26" i="8"/>
  <c r="M24" i="8"/>
  <c r="L23" i="9" l="1"/>
  <c r="L22" i="9"/>
  <c r="L26" i="9"/>
  <c r="L24" i="9"/>
  <c r="L23" i="8"/>
  <c r="L22" i="8"/>
  <c r="L26" i="8"/>
  <c r="L24" i="8"/>
  <c r="Y44" i="9" l="1"/>
  <c r="T44" i="9"/>
  <c r="O44" i="9"/>
  <c r="Y43" i="9"/>
  <c r="T43" i="9"/>
  <c r="O43" i="9"/>
  <c r="Y42" i="9"/>
  <c r="T42" i="9"/>
  <c r="O42" i="9"/>
  <c r="Y41" i="9"/>
  <c r="T41" i="9"/>
  <c r="O41" i="9"/>
  <c r="Y40" i="9"/>
  <c r="T40" i="9"/>
  <c r="O40" i="9"/>
  <c r="Y39" i="9"/>
  <c r="T39" i="9"/>
  <c r="O39" i="9"/>
  <c r="Y38" i="9"/>
  <c r="T38" i="9"/>
  <c r="O38" i="9"/>
  <c r="Y37" i="9"/>
  <c r="T37" i="9"/>
  <c r="O37" i="9"/>
  <c r="Y36" i="9"/>
  <c r="T36" i="9"/>
  <c r="O36" i="9"/>
  <c r="Y35" i="9"/>
  <c r="T35" i="9"/>
  <c r="O35" i="9"/>
  <c r="Y34" i="9"/>
  <c r="T34" i="9"/>
  <c r="O34" i="9"/>
  <c r="Y33" i="9"/>
  <c r="T33" i="9"/>
  <c r="O33" i="9"/>
  <c r="Y32" i="9"/>
  <c r="T32" i="9"/>
  <c r="O32" i="9"/>
  <c r="Y31" i="9"/>
  <c r="T31" i="9"/>
  <c r="O31" i="9"/>
  <c r="Y30" i="9"/>
  <c r="T30" i="9"/>
  <c r="O30" i="9"/>
  <c r="Y29" i="9"/>
  <c r="T29" i="9"/>
  <c r="O29" i="9"/>
  <c r="Y28" i="9"/>
  <c r="T28" i="9"/>
  <c r="O28" i="9"/>
  <c r="Y27" i="9"/>
  <c r="T27" i="9"/>
  <c r="O27" i="9"/>
  <c r="Y26" i="9"/>
  <c r="K26" i="9"/>
  <c r="O26" i="9" s="1"/>
  <c r="Y25" i="9"/>
  <c r="O25" i="9"/>
  <c r="Y24" i="9"/>
  <c r="K24" i="9"/>
  <c r="K22" i="9" s="1"/>
  <c r="O22" i="9" s="1"/>
  <c r="Y23" i="9"/>
  <c r="Y22" i="9"/>
  <c r="T22" i="9"/>
  <c r="K23" i="8"/>
  <c r="O23" i="8" s="1"/>
  <c r="K22" i="8"/>
  <c r="K26" i="8"/>
  <c r="K24" i="8"/>
  <c r="O24" i="8" s="1"/>
  <c r="Y23" i="8"/>
  <c r="Y24" i="8"/>
  <c r="Y25" i="8"/>
  <c r="Y26" i="8"/>
  <c r="Y27" i="8"/>
  <c r="Y28" i="8"/>
  <c r="Y29" i="8"/>
  <c r="Y30" i="8"/>
  <c r="Y31" i="8"/>
  <c r="Y32" i="8"/>
  <c r="Y33" i="8"/>
  <c r="Y34" i="8"/>
  <c r="Y35" i="8"/>
  <c r="Y36" i="8"/>
  <c r="Y37" i="8"/>
  <c r="Y38" i="8"/>
  <c r="Y39" i="8"/>
  <c r="Y40" i="8"/>
  <c r="Y41" i="8"/>
  <c r="Y42" i="8"/>
  <c r="Y43" i="8"/>
  <c r="Y44" i="8"/>
  <c r="T23" i="8"/>
  <c r="T24" i="8"/>
  <c r="T25" i="8"/>
  <c r="T26" i="8"/>
  <c r="T27" i="8"/>
  <c r="T28" i="8"/>
  <c r="T29" i="8"/>
  <c r="T30" i="8"/>
  <c r="T31" i="8"/>
  <c r="T32" i="8"/>
  <c r="T33" i="8"/>
  <c r="T34" i="8"/>
  <c r="T35" i="8"/>
  <c r="T36" i="8"/>
  <c r="T37" i="8"/>
  <c r="T38" i="8"/>
  <c r="T39" i="8"/>
  <c r="T40" i="8"/>
  <c r="T41" i="8"/>
  <c r="T42" i="8"/>
  <c r="T43" i="8"/>
  <c r="T44" i="8"/>
  <c r="O25" i="8"/>
  <c r="O26" i="8"/>
  <c r="O27" i="8"/>
  <c r="O28" i="8"/>
  <c r="O29" i="8"/>
  <c r="O30" i="8"/>
  <c r="O31" i="8"/>
  <c r="O32" i="8"/>
  <c r="O33" i="8"/>
  <c r="O34" i="8"/>
  <c r="O35" i="8"/>
  <c r="O36" i="8"/>
  <c r="O37" i="8"/>
  <c r="O38" i="8"/>
  <c r="O39" i="8"/>
  <c r="O40" i="8"/>
  <c r="O41" i="8"/>
  <c r="O42" i="8"/>
  <c r="O43" i="8"/>
  <c r="O44" i="8"/>
  <c r="Z22" i="9" l="1"/>
  <c r="AA22" i="9" s="1"/>
  <c r="Z43" i="9"/>
  <c r="AA43" i="9" s="1"/>
  <c r="Z41" i="9"/>
  <c r="AA41" i="9" s="1"/>
  <c r="Z42" i="9"/>
  <c r="AA42" i="9" s="1"/>
  <c r="Z44" i="9"/>
  <c r="AA44" i="9" s="1"/>
  <c r="Z29" i="9"/>
  <c r="AA29" i="9" s="1"/>
  <c r="Z25" i="9"/>
  <c r="AA25" i="9" s="1"/>
  <c r="Z32" i="9"/>
  <c r="AA32" i="9" s="1"/>
  <c r="Z33" i="9"/>
  <c r="AA33" i="9" s="1"/>
  <c r="Z34" i="9"/>
  <c r="AA34" i="9" s="1"/>
  <c r="Z30" i="9"/>
  <c r="AA30" i="9" s="1"/>
  <c r="Z35" i="9"/>
  <c r="AA35" i="9" s="1"/>
  <c r="Z40" i="9"/>
  <c r="AA40" i="9" s="1"/>
  <c r="Z36" i="9"/>
  <c r="AA36" i="9" s="1"/>
  <c r="Z37" i="9"/>
  <c r="AA37" i="9" s="1"/>
  <c r="Z31" i="9"/>
  <c r="AA31" i="9" s="1"/>
  <c r="Z38" i="9"/>
  <c r="AA38" i="9" s="1"/>
  <c r="Z39" i="9"/>
  <c r="AA39" i="9" s="1"/>
  <c r="Z26" i="9"/>
  <c r="AA26" i="9" s="1"/>
  <c r="K23" i="9"/>
  <c r="O23" i="9" s="1"/>
  <c r="Z23" i="9" s="1"/>
  <c r="AA23" i="9" s="1"/>
  <c r="O24" i="9"/>
  <c r="Z24" i="9" s="1"/>
  <c r="AA24" i="9" s="1"/>
  <c r="Y22" i="8" l="1"/>
  <c r="T22" i="8"/>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AC44" i="4" l="1"/>
  <c r="AD44" i="4" s="1"/>
  <c r="X44" i="4"/>
  <c r="S44" i="4"/>
  <c r="N44" i="4"/>
  <c r="I44" i="4" l="1"/>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N33" i="4"/>
  <c r="N34" i="4"/>
  <c r="N35" i="4"/>
  <c r="N36" i="4"/>
  <c r="N37" i="4"/>
  <c r="N38" i="4"/>
  <c r="N39" i="4"/>
  <c r="N40" i="4"/>
  <c r="N41" i="4"/>
  <c r="N42" i="4"/>
  <c r="N43" i="4"/>
  <c r="N31" i="4"/>
  <c r="I25" i="4"/>
  <c r="I24" i="4"/>
  <c r="Y25" i="4"/>
  <c r="Y24" i="4"/>
  <c r="I40" i="4" l="1"/>
  <c r="I33" i="4"/>
  <c r="Y32" i="4"/>
  <c r="I41" i="4"/>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s="1"/>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 r="AA24" i="8" l="1"/>
  <c r="AA23" i="8"/>
  <c r="AA22" i="8"/>
</calcChain>
</file>

<file path=xl/sharedStrings.xml><?xml version="1.0" encoding="utf-8"?>
<sst xmlns="http://schemas.openxmlformats.org/spreadsheetml/2006/main" count="384" uniqueCount="102">
  <si>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</si>
  <si>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</si>
  <si>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</si>
  <si>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</si>
  <si>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</si>
  <si>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</si>
  <si>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</si>
  <si>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</si>
  <si>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</si>
  <si>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</si>
  <si>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</si>
  <si>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</si>
  <si>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</si>
  <si>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</si>
  <si>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</si>
  <si>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</si>
  <si>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</si>
  <si>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</si>
  <si>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</si>
  <si>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</si>
  <si>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</si>
  <si>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</si>
  <si>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</si>
  <si>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</si>
  <si>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</si>
  <si>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</si>
  <si>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</si>
  <si>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</si>
  <si>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</si>
  <si>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</si>
  <si>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</si>
  <si>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</si>
  <si>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</si>
  <si>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</si>
  <si>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</si>
  <si>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</si>
  <si>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</si>
  <si>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</si>
  <si>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</si>
  <si>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</si>
  <si>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</si>
  <si>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</si>
  <si>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</si>
  <si>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</si>
  <si>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</si>
  <si>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</si>
  <si>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</si>
  <si>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</si>
  <si>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</si>
  <si>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</si>
  <si>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</si>
  <si>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</si>
  <si>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</si>
  <si>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</si>
  <si>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</si>
  <si>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</si>
  <si>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</si>
  <si>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</si>
  <si>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</si>
  <si>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</si>
  <si>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</si>
  <si>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</si>
  <si>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</si>
  <si>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</si>
  <si>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</si>
  <si>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</si>
  <si>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</si>
  <si>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</si>
  <si>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</si>
  <si>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</si>
  <si>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</si>
  <si>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</si>
  <si>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</si>
  <si>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</si>
  <si>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</si>
  <si>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</si>
  <si>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</si>
  <si>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</si>
  <si>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</si>
  <si>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</si>
  <si>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</si>
  <si>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</si>
  <si>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</si>
  <si>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</si>
  <si>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</si>
  <si>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</si>
  <si>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</si>
  <si>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</si>
  <si>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</si>
  <si>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</si>
  <si>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</si>
  <si>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MATRIZ DE PLANIFICACIÓN, POA 2024</t>
  </si>
  <si>
    <t>Para el 2024 se ha incrementado en  21.0 puntos porcentuales el número de personas individuales y jurídicas beneficiadas con servicios registrales  (Línea base de 120,008 en 2019 a 145,210 en 2024).</t>
  </si>
  <si>
    <t>EJECUCIÓN MENSUAL, CUATRIMESTRAL Y ANUAL,  POA 2024</t>
  </si>
  <si>
    <t>Para el 2024 Se han mejorado las condiciones del clima de negocios y se ha aumentado la inversión para la generación de empleo digno en un 21%. (Línea base IED 2017. 1,169.50 Millones de Dólares BANGUAT).</t>
  </si>
  <si>
    <t>POA AÑO 2024 APROBADO SEGÚN ACUERDO GUBERNATIVO 1-2024</t>
  </si>
  <si>
    <t>POA AÑO 2024</t>
  </si>
  <si>
    <t>PRESUPUESTO AÑO 2024</t>
  </si>
  <si>
    <t>Ago</t>
  </si>
  <si>
    <t>REPROGRAMACIÓN DE METAS MES DE JULIO 2024</t>
  </si>
  <si>
    <t>REPROGRAMACIÓNDE METAS MES DE AGOSTO 2024</t>
  </si>
  <si>
    <t>EJECUCIÓN DE METAS MES DE AGOSTO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</si>
</sst>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46">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16" fontId="10" fillId="3" borderId="1" xfId="2" applyNumberFormat="1" applyFont="1" applyFill="1" applyBorder="1" applyAlignment="1">
      <alignment horizontal="center"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2" fillId="2" borderId="4" xfId="1" applyFont="1" applyFill="1" applyBorder="1" applyAlignment="1">
      <alignment horizontal="left"/>
    </xf>
    <xf numFmtId="0" fontId="2" fillId="2" borderId="6" xfId="1" applyFont="1" applyFill="1" applyBorder="1" applyAlignment="1">
      <alignment horizontal="left"/>
    </xf>
    <xf numFmtId="0" fontId="7" fillId="4" borderId="8"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3" fillId="0" borderId="1" xfId="1" applyFont="1" applyBorder="1" applyAlignment="1">
      <alignment horizontal="left" vertical="center" wrapText="1"/>
    </xf>
    <xf numFmtId="0" fontId="25"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5" fillId="3" borderId="1" xfId="1" applyFont="1" applyFill="1" applyBorder="1" applyAlignment="1">
      <alignment horizontal="left" vertical="center" wrapText="1"/>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44" fontId="13" fillId="3" borderId="7" xfId="5" applyFont="1" applyFill="1" applyBorder="1" applyAlignment="1">
      <alignment horizontal="center" vertical="top" wrapText="1"/>
    </xf>
    <xf numFmtId="44" fontId="13" fillId="3" borderId="8" xfId="5" applyFont="1" applyFill="1" applyBorder="1" applyAlignment="1">
      <alignment horizontal="center" vertical="top" wrapText="1"/>
    </xf>
    <xf numFmtId="44" fontId="13" fillId="3" borderId="2" xfId="5" applyFont="1" applyFill="1" applyBorder="1" applyAlignment="1">
      <alignment horizontal="center" vertical="top" wrapText="1"/>
    </xf>
    <xf numFmtId="0" fontId="17" fillId="3" borderId="4" xfId="0" applyFont="1" applyFill="1" applyBorder="1" applyAlignment="1">
      <alignment horizontal="left" vertical="top" wrapText="1"/>
    </xf>
    <xf numFmtId="0" fontId="17" fillId="3" borderId="6" xfId="0" applyFont="1" applyFill="1" applyBorder="1" applyAlignment="1">
      <alignment horizontal="left" vertical="top" wrapText="1"/>
    </xf>
  </cellXfs>
  <cellStyles count="6">
    <cellStyle name="Moneda" xfId="5" builtinId="4"/>
    <cellStyle name="Normal" xfId="0" builtinId="0"/>
    <cellStyle name="Normal 2" xfId="3"/>
    <cellStyle name="Normal 2 2 2" xfId="4"/>
    <cellStyle name="Normal 3 3" xfId="2"/>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xmlns="" id="{00000000-0008-0000-0000-000002000000}"/>
                </a:ext>
              </a:extLst>
            </xdr:cNvPr>
            <xdr:cNvPicPr>
              <a:picLocks noChangeAspect="1" noChangeArrowheads="1"/>
              <a:extLst>
                <a:ext uri="{84589F7E-364E-4C9E-8A38-B11213B215E9}">
                  <a14:cameraTool cellRange="$B$4:$AB$44" spid="_x0000_s2490"/>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53339</xdr:rowOff>
        </xdr:to>
        <xdr:pic>
          <xdr:nvPicPr>
            <xdr:cNvPr id="2" name="Imagen 1">
              <a:extLst>
                <a:ext uri="{FF2B5EF4-FFF2-40B4-BE49-F238E27FC236}">
                  <a16:creationId xmlns:a16="http://schemas.microsoft.com/office/drawing/2014/main" xmlns="" id="{00000000-0008-0000-0100-000002000000}"/>
                </a:ext>
              </a:extLst>
            </xdr:cNvPr>
            <xdr:cNvPicPr>
              <a:picLocks noChangeAspect="1" noChangeArrowheads="1"/>
              <a:extLst>
                <a:ext uri="{84589F7E-364E-4C9E-8A38-B11213B215E9}">
                  <a14:cameraTool cellRange="$B$4:$AB$44" spid="_x0000_s1523"/>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T55"/>
  <sheetViews>
    <sheetView showGridLines="0" view="pageBreakPreview" topLeftCell="F72"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133" t="s">
        <v>75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45" ht="20.45" customHeight="1" x14ac:dyDescent="0.2">
      <c r="B5" s="134" t="s">
        <v>76</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6"/>
    </row>
    <row r="6" spans="1:45" ht="26.45" customHeight="1" x14ac:dyDescent="0.2">
      <c r="B6" s="134" t="s">
        <v>68</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6"/>
    </row>
    <row r="7" spans="1:45" s="4" customFormat="1" ht="19.5" hidden="1"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c r="AJ7" s="3"/>
      <c r="AK7" s="3"/>
      <c r="AL7" s="3"/>
      <c r="AM7" s="3"/>
      <c r="AN7" s="3"/>
      <c r="AO7" s="3"/>
      <c r="AP7" s="3"/>
      <c r="AQ7" s="3"/>
      <c r="AR7" s="3"/>
      <c r="AS7" s="3"/>
    </row>
    <row r="8" spans="1:45" s="4" customFormat="1" ht="19.5" hidden="1"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2"/>
      <c r="AC8" s="3"/>
      <c r="AD8" s="3"/>
      <c r="AE8" s="3"/>
      <c r="AF8" s="3"/>
      <c r="AG8" s="3"/>
      <c r="AH8" s="3"/>
      <c r="AI8" s="3"/>
      <c r="AJ8" s="3"/>
      <c r="AK8" s="3"/>
      <c r="AL8" s="3"/>
      <c r="AM8" s="3"/>
      <c r="AN8" s="3"/>
      <c r="AO8" s="3"/>
      <c r="AP8" s="3"/>
      <c r="AQ8" s="3"/>
      <c r="AR8" s="3"/>
      <c r="AS8" s="3"/>
    </row>
    <row r="9" spans="1:45" s="3" customFormat="1" ht="32.25" hidden="1"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45" s="3" customFormat="1" ht="147" hidden="1"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45" ht="29.25" hidden="1" customHeight="1" x14ac:dyDescent="0.2">
      <c r="B11" s="121" t="s">
        <v>28</v>
      </c>
      <c r="C11" s="121"/>
      <c r="D11" s="121"/>
      <c r="E11" s="123" t="s">
        <v>52</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4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5"/>
      <c r="AC12" s="2"/>
      <c r="AD12" s="2"/>
      <c r="AE12" s="2"/>
      <c r="AF12" s="2"/>
      <c r="AG12" s="2"/>
      <c r="AH12" s="2"/>
      <c r="AI12" s="2"/>
      <c r="AJ12" s="2"/>
      <c r="AK12" s="2"/>
      <c r="AL12" s="2"/>
      <c r="AM12" s="2"/>
      <c r="AN12" s="2"/>
      <c r="AO12" s="2"/>
      <c r="AP12" s="2"/>
      <c r="AQ12" s="2"/>
      <c r="AR12" s="2"/>
      <c r="AS12" s="2"/>
    </row>
    <row r="13" spans="1:45" s="9" customFormat="1" ht="18" customHeight="1" x14ac:dyDescent="0.2">
      <c r="B13" s="116" t="s">
        <v>39</v>
      </c>
      <c r="C13" s="117"/>
      <c r="D13" s="117"/>
      <c r="E13" s="118"/>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6"/>
    </row>
    <row r="14" spans="1:45" s="9" customFormat="1" ht="44.25" customHeight="1" x14ac:dyDescent="0.2">
      <c r="B14" s="116" t="s">
        <v>29</v>
      </c>
      <c r="C14" s="117"/>
      <c r="D14" s="117"/>
      <c r="E14" s="118"/>
      <c r="F14" s="127" t="s">
        <v>77</v>
      </c>
      <c r="G14" s="128"/>
      <c r="H14" s="128"/>
      <c r="I14" s="128"/>
      <c r="J14" s="128"/>
      <c r="K14" s="128"/>
      <c r="L14" s="128"/>
      <c r="M14" s="128"/>
      <c r="N14" s="128"/>
      <c r="O14" s="128"/>
      <c r="P14" s="128"/>
      <c r="Q14" s="128"/>
      <c r="R14" s="128"/>
      <c r="S14" s="128"/>
      <c r="T14" s="128"/>
      <c r="U14" s="128"/>
      <c r="V14" s="128"/>
      <c r="W14" s="128"/>
      <c r="X14" s="128"/>
      <c r="Y14" s="128"/>
      <c r="Z14" s="128"/>
      <c r="AA14" s="128"/>
      <c r="AB14" s="128"/>
      <c r="AC14" s="129"/>
    </row>
    <row r="15" spans="1:4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c r="AC15" s="129"/>
    </row>
    <row r="16" spans="1:4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24"/>
    </row>
    <row r="17" spans="2:4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1"/>
    </row>
    <row r="18" spans="2:46" s="9" customFormat="1" ht="17.25" customHeight="1" x14ac:dyDescent="0.2">
      <c r="B18" s="98" t="s">
        <v>41</v>
      </c>
      <c r="C18" s="98"/>
      <c r="D18" s="98"/>
      <c r="E18" s="98"/>
      <c r="F18" s="99" t="s">
        <v>43</v>
      </c>
      <c r="G18" s="100"/>
      <c r="H18" s="100"/>
      <c r="I18" s="100"/>
      <c r="J18" s="100"/>
      <c r="K18" s="100"/>
      <c r="L18" s="100"/>
      <c r="M18" s="100"/>
      <c r="N18" s="100"/>
      <c r="O18" s="100"/>
      <c r="P18" s="100"/>
      <c r="Q18" s="100"/>
      <c r="R18" s="100"/>
      <c r="S18" s="100"/>
      <c r="T18" s="100"/>
      <c r="U18" s="100"/>
      <c r="V18" s="100"/>
      <c r="W18" s="100"/>
      <c r="X18" s="100"/>
      <c r="Y18" s="100"/>
      <c r="Z18" s="100"/>
      <c r="AA18" s="100"/>
      <c r="AB18" s="101"/>
    </row>
    <row r="19" spans="2:46" ht="19.149999999999999" customHeight="1" x14ac:dyDescent="0.2">
      <c r="B19" s="102"/>
      <c r="C19" s="105" t="s">
        <v>30</v>
      </c>
      <c r="D19" s="106"/>
      <c r="E19" s="107"/>
      <c r="F19" s="89" t="s">
        <v>31</v>
      </c>
      <c r="G19" s="112" t="s">
        <v>4</v>
      </c>
      <c r="H19" s="89" t="s">
        <v>3</v>
      </c>
      <c r="I19" s="88" t="s">
        <v>32</v>
      </c>
      <c r="J19" s="90" t="s">
        <v>71</v>
      </c>
      <c r="K19" s="90"/>
      <c r="L19" s="90"/>
      <c r="M19" s="90"/>
      <c r="N19" s="90"/>
      <c r="O19" s="90"/>
      <c r="P19" s="90"/>
      <c r="Q19" s="90"/>
      <c r="R19" s="90"/>
      <c r="S19" s="90"/>
      <c r="T19" s="90"/>
      <c r="U19" s="90"/>
      <c r="V19" s="90"/>
      <c r="W19" s="90"/>
      <c r="X19" s="90"/>
      <c r="Y19" s="90"/>
      <c r="Z19" s="90"/>
      <c r="AA19" s="90"/>
      <c r="AB19" s="61"/>
    </row>
    <row r="20" spans="2:46" ht="27" customHeight="1" x14ac:dyDescent="0.2">
      <c r="B20" s="103"/>
      <c r="C20" s="105"/>
      <c r="D20" s="106"/>
      <c r="E20" s="107"/>
      <c r="F20" s="111"/>
      <c r="G20" s="112"/>
      <c r="H20" s="111"/>
      <c r="I20" s="88"/>
      <c r="J20" s="91"/>
      <c r="K20" s="91"/>
      <c r="L20" s="91"/>
      <c r="M20" s="91"/>
      <c r="N20" s="62"/>
      <c r="O20" s="91"/>
      <c r="P20" s="91"/>
      <c r="Q20" s="91"/>
      <c r="R20" s="91"/>
      <c r="S20" s="62"/>
      <c r="T20" s="91"/>
      <c r="U20" s="91"/>
      <c r="V20" s="91"/>
      <c r="W20" s="91"/>
      <c r="X20" s="62"/>
      <c r="Y20" s="92" t="s">
        <v>5</v>
      </c>
      <c r="Z20" s="92"/>
      <c r="AA20" s="27"/>
      <c r="AB20" s="27"/>
    </row>
    <row r="21" spans="2:46" ht="62.45" customHeight="1" x14ac:dyDescent="0.2">
      <c r="B21" s="104"/>
      <c r="C21" s="108"/>
      <c r="D21" s="109"/>
      <c r="E21" s="110"/>
      <c r="F21" s="111"/>
      <c r="G21" s="113"/>
      <c r="H21" s="111"/>
      <c r="I21" s="89"/>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95" t="s">
        <v>20</v>
      </c>
      <c r="D22" s="96"/>
      <c r="E22" s="96"/>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93" t="s">
        <v>72</v>
      </c>
      <c r="AC22" s="8"/>
      <c r="AD22" s="31"/>
      <c r="AF22" s="29"/>
      <c r="AG22" s="31"/>
      <c r="AH22" s="33"/>
      <c r="AI22" s="34"/>
    </row>
    <row r="23" spans="2:46" ht="81" customHeight="1" x14ac:dyDescent="0.2">
      <c r="B23" s="5"/>
      <c r="C23" s="83"/>
      <c r="D23" s="84"/>
      <c r="E23" s="85"/>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94"/>
      <c r="AC23" s="8"/>
      <c r="AD23" s="31"/>
      <c r="AF23" s="29"/>
      <c r="AG23" s="31"/>
      <c r="AH23" s="31"/>
    </row>
    <row r="24" spans="2:46" ht="24" customHeight="1" x14ac:dyDescent="0.2">
      <c r="B24" s="5"/>
      <c r="C24" s="83"/>
      <c r="D24" s="84"/>
      <c r="E24" s="85"/>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83"/>
      <c r="D25" s="84"/>
      <c r="E25" s="85"/>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83"/>
      <c r="D26" s="84"/>
      <c r="E26" s="85"/>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83"/>
      <c r="D29" s="84"/>
      <c r="E29" s="85"/>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83"/>
      <c r="D30" s="84"/>
      <c r="E30" s="85"/>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83"/>
      <c r="D31" s="84"/>
      <c r="E31" s="85"/>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83"/>
      <c r="D32" s="84"/>
      <c r="E32" s="85"/>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83"/>
      <c r="D33" s="84"/>
      <c r="E33" s="85"/>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83"/>
      <c r="D34" s="84"/>
      <c r="E34" s="85"/>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83"/>
      <c r="D35" s="84"/>
      <c r="E35" s="85"/>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83"/>
      <c r="D36" s="84"/>
      <c r="E36" s="85"/>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83"/>
      <c r="D37" s="84"/>
      <c r="E37" s="85"/>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83"/>
      <c r="D38" s="84"/>
      <c r="E38" s="85"/>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83"/>
      <c r="D39" s="84"/>
      <c r="E39" s="85"/>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83"/>
      <c r="D40" s="84"/>
      <c r="E40" s="85"/>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83"/>
      <c r="D41" s="84"/>
      <c r="E41" s="85"/>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83"/>
      <c r="D42" s="84"/>
      <c r="E42" s="85"/>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83"/>
      <c r="D43" s="84"/>
      <c r="E43" s="85"/>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83"/>
      <c r="D44" s="84"/>
      <c r="E44" s="85"/>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86" t="s">
        <v>74</v>
      </c>
      <c r="D45" s="87"/>
      <c r="E45" s="87"/>
      <c r="F45" s="87"/>
      <c r="G45" s="87"/>
      <c r="H45" s="87"/>
      <c r="I45" s="87"/>
      <c r="J45" s="87"/>
      <c r="K45" s="87"/>
      <c r="L45" s="87"/>
      <c r="M45" s="87"/>
      <c r="N45" s="87"/>
      <c r="O45" s="87"/>
      <c r="P45" s="87"/>
      <c r="Q45" s="87"/>
      <c r="R45" s="87"/>
      <c r="S45" s="87"/>
      <c r="T45" s="87"/>
      <c r="U45" s="87"/>
      <c r="V45" s="87"/>
      <c r="W45" s="87"/>
      <c r="X45" s="87"/>
      <c r="Y45" s="87"/>
      <c r="Z45" s="87"/>
      <c r="AA45" s="87"/>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B8:D8"/>
    <mergeCell ref="E8:AB8"/>
    <mergeCell ref="B4:AB4"/>
    <mergeCell ref="B5:AB5"/>
    <mergeCell ref="B6:AB6"/>
    <mergeCell ref="B7:D7"/>
    <mergeCell ref="E7:AB7"/>
    <mergeCell ref="B12:AB12"/>
    <mergeCell ref="B13:E13"/>
    <mergeCell ref="B14:E14"/>
    <mergeCell ref="B15:E15"/>
    <mergeCell ref="B9:D9"/>
    <mergeCell ref="E9:AB9"/>
    <mergeCell ref="B10:D10"/>
    <mergeCell ref="E10:AB10"/>
    <mergeCell ref="B11:D11"/>
    <mergeCell ref="E11:AB11"/>
    <mergeCell ref="F13:AC13"/>
    <mergeCell ref="F14:AC14"/>
    <mergeCell ref="F15:AC15"/>
    <mergeCell ref="B19:B21"/>
    <mergeCell ref="C19:E21"/>
    <mergeCell ref="F19:F21"/>
    <mergeCell ref="G19:G21"/>
    <mergeCell ref="H19:H21"/>
    <mergeCell ref="B16:AA16"/>
    <mergeCell ref="B17:E17"/>
    <mergeCell ref="F17:AB17"/>
    <mergeCell ref="B18:E18"/>
    <mergeCell ref="F18:AB18"/>
    <mergeCell ref="C38:E38"/>
    <mergeCell ref="C39:E39"/>
    <mergeCell ref="C40:E40"/>
    <mergeCell ref="C29:E29"/>
    <mergeCell ref="C30:E30"/>
    <mergeCell ref="C31:E31"/>
    <mergeCell ref="C32:E32"/>
    <mergeCell ref="C33:E33"/>
    <mergeCell ref="C34:E34"/>
    <mergeCell ref="C35:E35"/>
    <mergeCell ref="C36:E36"/>
    <mergeCell ref="AB22:AB23"/>
    <mergeCell ref="C23:E23"/>
    <mergeCell ref="C24:E24"/>
    <mergeCell ref="C25:E25"/>
    <mergeCell ref="C37:E37"/>
    <mergeCell ref="C26:E26"/>
    <mergeCell ref="C22:E22"/>
    <mergeCell ref="I19:I21"/>
    <mergeCell ref="J19:AA19"/>
    <mergeCell ref="J20:M20"/>
    <mergeCell ref="O20:R20"/>
    <mergeCell ref="T20:W20"/>
    <mergeCell ref="Y20:Z20"/>
    <mergeCell ref="C41:E41"/>
    <mergeCell ref="C42:E42"/>
    <mergeCell ref="C43:E43"/>
    <mergeCell ref="C44:E44"/>
    <mergeCell ref="C45:AA45"/>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T55"/>
  <sheetViews>
    <sheetView showGridLines="0" view="pageBreakPreview" topLeftCell="A12"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133" t="s">
        <v>85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4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6"/>
    </row>
    <row r="6" spans="1:45" ht="26.45" customHeight="1" x14ac:dyDescent="0.2">
      <c r="B6" s="134" t="s">
        <v>68</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6"/>
    </row>
    <row r="7" spans="1:45" s="4" customFormat="1" ht="19.5" hidden="1"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c r="AJ7" s="3"/>
      <c r="AK7" s="3"/>
      <c r="AL7" s="3"/>
      <c r="AM7" s="3"/>
      <c r="AN7" s="3"/>
      <c r="AO7" s="3"/>
      <c r="AP7" s="3"/>
      <c r="AQ7" s="3"/>
      <c r="AR7" s="3"/>
      <c r="AS7" s="3"/>
    </row>
    <row r="8" spans="1:45" s="4" customFormat="1" ht="19.5" hidden="1"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2"/>
      <c r="AC8" s="3"/>
      <c r="AD8" s="3"/>
      <c r="AE8" s="3"/>
      <c r="AF8" s="3"/>
      <c r="AG8" s="3"/>
      <c r="AH8" s="3"/>
      <c r="AI8" s="3"/>
      <c r="AJ8" s="3"/>
      <c r="AK8" s="3"/>
      <c r="AL8" s="3"/>
      <c r="AM8" s="3"/>
      <c r="AN8" s="3"/>
      <c r="AO8" s="3"/>
      <c r="AP8" s="3"/>
      <c r="AQ8" s="3"/>
      <c r="AR8" s="3"/>
      <c r="AS8" s="3"/>
    </row>
    <row r="9" spans="1:45" s="3" customFormat="1" ht="32.25" hidden="1"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45" s="3" customFormat="1" ht="147" hidden="1"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45" ht="29.25" hidden="1" customHeight="1" x14ac:dyDescent="0.2">
      <c r="B11" s="121" t="s">
        <v>28</v>
      </c>
      <c r="C11" s="121"/>
      <c r="D11" s="121"/>
      <c r="E11" s="123" t="s">
        <v>52</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4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5"/>
      <c r="AC12" s="2"/>
      <c r="AD12" s="2"/>
      <c r="AE12" s="2"/>
      <c r="AF12" s="2"/>
      <c r="AG12" s="2"/>
      <c r="AH12" s="2"/>
      <c r="AI12" s="2"/>
      <c r="AJ12" s="2"/>
      <c r="AK12" s="2"/>
      <c r="AL12" s="2"/>
      <c r="AM12" s="2"/>
      <c r="AN12" s="2"/>
      <c r="AO12" s="2"/>
      <c r="AP12" s="2"/>
      <c r="AQ12" s="2"/>
      <c r="AR12" s="2"/>
      <c r="AS12" s="2"/>
    </row>
    <row r="13" spans="1:4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6"/>
    </row>
    <row r="14" spans="1:4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c r="AC14" s="67"/>
    </row>
    <row r="15" spans="1:4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9"/>
    </row>
    <row r="16" spans="1:4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24"/>
    </row>
    <row r="17" spans="2:4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1"/>
    </row>
    <row r="18" spans="2:46" s="9" customFormat="1" ht="17.25" customHeight="1" x14ac:dyDescent="0.2">
      <c r="B18" s="98" t="s">
        <v>41</v>
      </c>
      <c r="C18" s="98"/>
      <c r="D18" s="98"/>
      <c r="E18" s="98"/>
      <c r="F18" s="99" t="s">
        <v>43</v>
      </c>
      <c r="G18" s="100"/>
      <c r="H18" s="100"/>
      <c r="I18" s="100"/>
      <c r="J18" s="100"/>
      <c r="K18" s="100"/>
      <c r="L18" s="100"/>
      <c r="M18" s="100"/>
      <c r="N18" s="100"/>
      <c r="O18" s="100"/>
      <c r="P18" s="100"/>
      <c r="Q18" s="100"/>
      <c r="R18" s="100"/>
      <c r="S18" s="100"/>
      <c r="T18" s="100"/>
      <c r="U18" s="100"/>
      <c r="V18" s="100"/>
      <c r="W18" s="100"/>
      <c r="X18" s="100"/>
      <c r="Y18" s="100"/>
      <c r="Z18" s="100"/>
      <c r="AA18" s="100"/>
      <c r="AB18" s="101"/>
    </row>
    <row r="19" spans="2:46" ht="19.149999999999999" customHeight="1" x14ac:dyDescent="0.2">
      <c r="B19" s="102"/>
      <c r="C19" s="105" t="s">
        <v>30</v>
      </c>
      <c r="D19" s="106"/>
      <c r="E19" s="107"/>
      <c r="F19" s="89" t="s">
        <v>31</v>
      </c>
      <c r="G19" s="112" t="s">
        <v>4</v>
      </c>
      <c r="H19" s="89" t="s">
        <v>3</v>
      </c>
      <c r="I19" s="88" t="s">
        <v>32</v>
      </c>
      <c r="J19" s="90" t="s">
        <v>93</v>
      </c>
      <c r="K19" s="90"/>
      <c r="L19" s="90"/>
      <c r="M19" s="90"/>
      <c r="N19" s="90"/>
      <c r="O19" s="90"/>
      <c r="P19" s="90"/>
      <c r="Q19" s="90"/>
      <c r="R19" s="90"/>
      <c r="S19" s="90"/>
      <c r="T19" s="90"/>
      <c r="U19" s="90"/>
      <c r="V19" s="90"/>
      <c r="W19" s="90"/>
      <c r="X19" s="90"/>
      <c r="Y19" s="90"/>
      <c r="Z19" s="90"/>
      <c r="AA19" s="90"/>
      <c r="AB19" s="28"/>
    </row>
    <row r="20" spans="2:46" ht="27" customHeight="1" x14ac:dyDescent="0.2">
      <c r="B20" s="103"/>
      <c r="C20" s="105"/>
      <c r="D20" s="106"/>
      <c r="E20" s="107"/>
      <c r="F20" s="111"/>
      <c r="G20" s="112"/>
      <c r="H20" s="111"/>
      <c r="I20" s="88"/>
      <c r="J20" s="91"/>
      <c r="K20" s="91"/>
      <c r="L20" s="91"/>
      <c r="M20" s="91"/>
      <c r="N20" s="51"/>
      <c r="O20" s="91"/>
      <c r="P20" s="91"/>
      <c r="Q20" s="91"/>
      <c r="R20" s="91"/>
      <c r="S20" s="51"/>
      <c r="T20" s="91"/>
      <c r="U20" s="91"/>
      <c r="V20" s="91"/>
      <c r="W20" s="91"/>
      <c r="X20" s="51"/>
      <c r="Y20" s="92" t="s">
        <v>5</v>
      </c>
      <c r="Z20" s="92"/>
      <c r="AA20" s="27"/>
      <c r="AB20" s="27"/>
      <c r="AC20" s="1">
        <v>31500000</v>
      </c>
      <c r="AD20" s="1">
        <f>+AC20/3</f>
        <v>10500000</v>
      </c>
    </row>
    <row r="21" spans="2:46" ht="62.45" customHeight="1" x14ac:dyDescent="0.2">
      <c r="B21" s="104"/>
      <c r="C21" s="108"/>
      <c r="D21" s="109"/>
      <c r="E21" s="110"/>
      <c r="F21" s="111"/>
      <c r="G21" s="113"/>
      <c r="H21" s="111"/>
      <c r="I21" s="89"/>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84</v>
      </c>
      <c r="AB21" s="22" t="s">
        <v>35</v>
      </c>
      <c r="AM21" s="8"/>
    </row>
    <row r="22" spans="2:46" ht="106.9" customHeight="1" x14ac:dyDescent="0.2">
      <c r="B22" s="5"/>
      <c r="C22" s="95" t="s">
        <v>20</v>
      </c>
      <c r="D22" s="96"/>
      <c r="E22" s="96"/>
      <c r="F22" s="16" t="str">
        <f>UPPER(C22)</f>
        <v>PERSONAS INDIVIDUALES Y JURÍDICAS BENEFICIADAS CON  SERVICIOS DE REGISTRO DE  PATENTES COMERCIALES Y TÍTULOS DE PROPIEDAD INTELECTUAL.</v>
      </c>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93" t="s">
        <v>82</v>
      </c>
      <c r="AC22" s="8">
        <v>6557</v>
      </c>
      <c r="AD22" s="31">
        <v>8149</v>
      </c>
      <c r="AE22" s="31">
        <f>AD22+AC22</f>
        <v>14706</v>
      </c>
      <c r="AF22" s="29">
        <f>AE22/2</f>
        <v>7353</v>
      </c>
      <c r="AG22" s="31">
        <f>AF22*0.03</f>
        <v>220.59</v>
      </c>
      <c r="AH22" s="33">
        <f>AG22+AF22</f>
        <v>7573.59</v>
      </c>
      <c r="AI22" s="34"/>
    </row>
    <row r="23" spans="2:46" ht="81" customHeight="1" x14ac:dyDescent="0.2">
      <c r="B23" s="5"/>
      <c r="C23" s="83"/>
      <c r="D23" s="84"/>
      <c r="E23" s="85"/>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94"/>
      <c r="AC23" s="8" t="s">
        <v>78</v>
      </c>
      <c r="AD23" s="31" t="s">
        <v>79</v>
      </c>
      <c r="AE23" s="1" t="s">
        <v>80</v>
      </c>
      <c r="AF23" s="29" t="s">
        <v>81</v>
      </c>
      <c r="AG23" s="31"/>
      <c r="AH23" s="31"/>
    </row>
    <row r="24" spans="2:46" ht="24" customHeight="1" x14ac:dyDescent="0.2">
      <c r="B24" s="5"/>
      <c r="C24" s="83"/>
      <c r="D24" s="84"/>
      <c r="E24" s="85"/>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83"/>
      <c r="D25" s="84"/>
      <c r="E25" s="85"/>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83"/>
      <c r="D26" s="84"/>
      <c r="E26" s="85"/>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hidden="1"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hidden="1"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hidden="1" customHeight="1" x14ac:dyDescent="0.2">
      <c r="B29" s="5"/>
      <c r="C29" s="83"/>
      <c r="D29" s="84"/>
      <c r="E29" s="85"/>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38"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hidden="1" customHeight="1" x14ac:dyDescent="0.2">
      <c r="B30" s="5"/>
      <c r="C30" s="83"/>
      <c r="D30" s="84"/>
      <c r="E30" s="85"/>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39"/>
      <c r="AC30" s="4">
        <f>0+0</f>
        <v>0</v>
      </c>
      <c r="AD30" s="64">
        <f t="shared" si="2"/>
        <v>0</v>
      </c>
      <c r="AE30" s="65">
        <f t="shared" si="3"/>
        <v>0</v>
      </c>
      <c r="AF30" s="66">
        <f t="shared" si="10"/>
        <v>0</v>
      </c>
      <c r="AG30" s="3"/>
      <c r="AH30" s="3"/>
      <c r="AI30" s="3"/>
      <c r="AJ30" s="3"/>
      <c r="AK30" s="3"/>
      <c r="AL30" s="3"/>
      <c r="AT30" s="1"/>
    </row>
    <row r="31" spans="2:46" ht="24" hidden="1" customHeight="1" x14ac:dyDescent="0.2">
      <c r="B31" s="5"/>
      <c r="C31" s="83"/>
      <c r="D31" s="84"/>
      <c r="E31" s="85"/>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39"/>
      <c r="AC31" s="4">
        <f>516+546</f>
        <v>1062</v>
      </c>
      <c r="AD31" s="64">
        <f t="shared" si="2"/>
        <v>531</v>
      </c>
      <c r="AE31" s="65">
        <f t="shared" si="3"/>
        <v>15.93</v>
      </c>
      <c r="AF31" s="66">
        <f t="shared" si="10"/>
        <v>546.92999999999995</v>
      </c>
      <c r="AG31" s="3"/>
      <c r="AH31" s="3"/>
      <c r="AI31" s="3"/>
      <c r="AJ31" s="3"/>
      <c r="AK31" s="3"/>
      <c r="AL31" s="3"/>
      <c r="AT31" s="1"/>
    </row>
    <row r="32" spans="2:46" ht="24" hidden="1" customHeight="1" x14ac:dyDescent="0.2">
      <c r="B32" s="5"/>
      <c r="C32" s="83"/>
      <c r="D32" s="84"/>
      <c r="E32" s="85"/>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39"/>
      <c r="AC32" s="4">
        <f>334+297</f>
        <v>631</v>
      </c>
      <c r="AD32" s="64">
        <f t="shared" si="2"/>
        <v>315.5</v>
      </c>
      <c r="AE32" s="65">
        <f t="shared" si="3"/>
        <v>9.4649999999999999</v>
      </c>
      <c r="AF32" s="66">
        <f t="shared" si="10"/>
        <v>324.96499999999997</v>
      </c>
      <c r="AG32" s="3"/>
      <c r="AH32" s="3"/>
      <c r="AI32" s="3"/>
      <c r="AJ32" s="3"/>
      <c r="AK32" s="3"/>
      <c r="AL32" s="3"/>
      <c r="AT32" s="1"/>
    </row>
    <row r="33" spans="2:46" ht="24" hidden="1" customHeight="1" x14ac:dyDescent="0.2">
      <c r="B33" s="5"/>
      <c r="C33" s="83"/>
      <c r="D33" s="84"/>
      <c r="E33" s="85"/>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39"/>
      <c r="AC33" s="4">
        <f>723+784</f>
        <v>1507</v>
      </c>
      <c r="AD33" s="64">
        <f t="shared" si="2"/>
        <v>753.5</v>
      </c>
      <c r="AE33" s="65">
        <f t="shared" si="3"/>
        <v>22.605</v>
      </c>
      <c r="AF33" s="66">
        <f t="shared" si="10"/>
        <v>776.10500000000002</v>
      </c>
      <c r="AG33" s="3"/>
      <c r="AH33" s="3"/>
      <c r="AI33" s="3"/>
      <c r="AJ33" s="3"/>
      <c r="AK33" s="3"/>
      <c r="AL33" s="3"/>
      <c r="AT33" s="1"/>
    </row>
    <row r="34" spans="2:46" ht="24" hidden="1" customHeight="1" x14ac:dyDescent="0.2">
      <c r="B34" s="5"/>
      <c r="C34" s="83"/>
      <c r="D34" s="84"/>
      <c r="E34" s="85"/>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39"/>
      <c r="AC34" s="4">
        <f>1217+1398</f>
        <v>2615</v>
      </c>
      <c r="AD34" s="64">
        <f t="shared" si="2"/>
        <v>1307.5</v>
      </c>
      <c r="AE34" s="65">
        <f t="shared" si="3"/>
        <v>39.225000000000001</v>
      </c>
      <c r="AF34" s="66">
        <f t="shared" si="10"/>
        <v>1346.7249999999999</v>
      </c>
      <c r="AG34" s="3"/>
      <c r="AH34" s="3"/>
      <c r="AI34" s="3"/>
      <c r="AJ34" s="3"/>
      <c r="AK34" s="3"/>
      <c r="AL34" s="3"/>
      <c r="AT34" s="1"/>
    </row>
    <row r="35" spans="2:46" ht="24" hidden="1" customHeight="1" x14ac:dyDescent="0.2">
      <c r="B35" s="5"/>
      <c r="C35" s="83"/>
      <c r="D35" s="84"/>
      <c r="E35" s="85"/>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40"/>
      <c r="AC35" s="4">
        <f>2951+2884</f>
        <v>5835</v>
      </c>
      <c r="AD35" s="64">
        <f t="shared" si="2"/>
        <v>2917.5</v>
      </c>
      <c r="AE35" s="65">
        <f t="shared" si="3"/>
        <v>87.524999999999991</v>
      </c>
      <c r="AF35" s="66">
        <f t="shared" si="10"/>
        <v>3005.0250000000001</v>
      </c>
      <c r="AG35" s="3"/>
      <c r="AH35" s="3"/>
      <c r="AI35" s="3"/>
      <c r="AJ35" s="3"/>
      <c r="AK35" s="3"/>
      <c r="AL35" s="3"/>
      <c r="AT35" s="1"/>
    </row>
    <row r="36" spans="2:46" ht="24" hidden="1" customHeight="1" x14ac:dyDescent="0.2">
      <c r="B36" s="5"/>
      <c r="C36" s="83"/>
      <c r="D36" s="84"/>
      <c r="E36" s="85"/>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hidden="1" customHeight="1" x14ac:dyDescent="0.2">
      <c r="B37" s="5"/>
      <c r="C37" s="83"/>
      <c r="D37" s="84"/>
      <c r="E37" s="85"/>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hidden="1" customHeight="1" x14ac:dyDescent="0.2">
      <c r="B38" s="5"/>
      <c r="C38" s="83"/>
      <c r="D38" s="84"/>
      <c r="E38" s="85"/>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hidden="1" customHeight="1" x14ac:dyDescent="0.2">
      <c r="B39" s="5"/>
      <c r="C39" s="83"/>
      <c r="D39" s="84"/>
      <c r="E39" s="85"/>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hidden="1" customHeight="1" x14ac:dyDescent="0.2">
      <c r="B40" s="5"/>
      <c r="C40" s="83"/>
      <c r="D40" s="84"/>
      <c r="E40" s="85"/>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hidden="1" customHeight="1" x14ac:dyDescent="0.2">
      <c r="B41" s="5"/>
      <c r="C41" s="83"/>
      <c r="D41" s="84"/>
      <c r="E41" s="85"/>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hidden="1" customHeight="1" x14ac:dyDescent="0.2">
      <c r="B42" s="5"/>
      <c r="C42" s="83"/>
      <c r="D42" s="84"/>
      <c r="E42" s="85"/>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hidden="1" customHeight="1" x14ac:dyDescent="0.2">
      <c r="B43" s="5"/>
      <c r="C43" s="83"/>
      <c r="D43" s="84"/>
      <c r="E43" s="85"/>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hidden="1"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86" t="s">
        <v>96</v>
      </c>
      <c r="D45" s="87"/>
      <c r="E45" s="87"/>
      <c r="F45" s="87"/>
      <c r="G45" s="87"/>
      <c r="H45" s="87"/>
      <c r="I45" s="87"/>
      <c r="J45" s="87"/>
      <c r="K45" s="87"/>
      <c r="L45" s="87"/>
      <c r="M45" s="87"/>
      <c r="N45" s="87"/>
      <c r="O45" s="87"/>
      <c r="P45" s="87"/>
      <c r="Q45" s="87"/>
      <c r="R45" s="87"/>
      <c r="S45" s="87"/>
      <c r="T45" s="87"/>
      <c r="U45" s="87"/>
      <c r="V45" s="87"/>
      <c r="W45" s="87"/>
      <c r="X45" s="87"/>
      <c r="Y45" s="87"/>
      <c r="Z45" s="87"/>
      <c r="AA45" s="87"/>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 ref="C32:E32"/>
    <mergeCell ref="C39:E39"/>
    <mergeCell ref="C40:E40"/>
    <mergeCell ref="C41:E41"/>
    <mergeCell ref="C42:E42"/>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T20:W20"/>
    <mergeCell ref="B12:AB12"/>
    <mergeCell ref="B13:E13"/>
    <mergeCell ref="F13:AB13"/>
    <mergeCell ref="B14:E14"/>
    <mergeCell ref="F14:AB14"/>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J97"/>
  <sheetViews>
    <sheetView showGridLines="0" tabSelected="1" view="pageBreakPreview" zoomScale="85" zoomScaleNormal="85" zoomScaleSheetLayoutView="85" workbookViewId="0">
      <selection activeCell="X36" sqref="X36"/>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133" t="s">
        <v>87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3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row>
    <row r="6" spans="1:35" ht="26.45" customHeight="1" x14ac:dyDescent="0.2">
      <c r="B6" s="134" t="s">
        <v>101</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row>
    <row r="7" spans="1:35" s="4" customFormat="1" ht="19.5"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row>
    <row r="8" spans="1:35" s="4" customFormat="1" ht="19.5"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1"/>
      <c r="AC8" s="3"/>
      <c r="AD8" s="3"/>
      <c r="AE8" s="3"/>
      <c r="AF8" s="3"/>
      <c r="AG8" s="3"/>
      <c r="AH8" s="3"/>
      <c r="AI8" s="3"/>
    </row>
    <row r="9" spans="1:35" s="3" customFormat="1" ht="32.25"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35" s="3" customFormat="1" ht="133.5"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35" ht="29.25" customHeight="1" x14ac:dyDescent="0.2">
      <c r="B11" s="121" t="s">
        <v>28</v>
      </c>
      <c r="C11" s="121"/>
      <c r="D11" s="121"/>
      <c r="E11" s="123" t="s">
        <v>94</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3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
      <c r="AD12" s="2"/>
      <c r="AE12" s="2"/>
      <c r="AF12" s="2"/>
      <c r="AG12" s="2"/>
      <c r="AH12" s="2"/>
      <c r="AI12" s="2"/>
    </row>
    <row r="13" spans="1:3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3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row>
    <row r="15" spans="1:3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row>
    <row r="16" spans="1:3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row>
    <row r="17" spans="2:3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0"/>
    </row>
    <row r="18" spans="2:36" s="9" customFormat="1" ht="17.25" customHeight="1" x14ac:dyDescent="0.2">
      <c r="B18" s="98" t="s">
        <v>41</v>
      </c>
      <c r="C18" s="98"/>
      <c r="D18" s="98"/>
      <c r="E18" s="98"/>
      <c r="F18" s="99" t="s">
        <v>86</v>
      </c>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2:36" ht="19.149999999999999" customHeight="1" x14ac:dyDescent="0.2">
      <c r="B19" s="102"/>
      <c r="C19" s="105" t="s">
        <v>30</v>
      </c>
      <c r="D19" s="106"/>
      <c r="E19" s="107"/>
      <c r="F19" s="89" t="s">
        <v>31</v>
      </c>
      <c r="G19" s="112" t="s">
        <v>4</v>
      </c>
      <c r="H19" s="89" t="s">
        <v>3</v>
      </c>
      <c r="I19" s="88" t="s">
        <v>90</v>
      </c>
      <c r="J19" s="88" t="s">
        <v>32</v>
      </c>
      <c r="K19" s="90" t="s">
        <v>101</v>
      </c>
      <c r="L19" s="90"/>
      <c r="M19" s="90"/>
      <c r="N19" s="90"/>
      <c r="O19" s="90"/>
      <c r="P19" s="90"/>
      <c r="Q19" s="90"/>
      <c r="R19" s="90"/>
      <c r="S19" s="90"/>
      <c r="T19" s="90"/>
      <c r="U19" s="90"/>
      <c r="V19" s="90"/>
      <c r="W19" s="90"/>
      <c r="X19" s="90"/>
      <c r="Y19" s="90"/>
      <c r="Z19" s="90"/>
      <c r="AA19" s="90"/>
      <c r="AB19" s="90"/>
    </row>
    <row r="20" spans="2:36" ht="27" customHeight="1" x14ac:dyDescent="0.2">
      <c r="B20" s="103"/>
      <c r="C20" s="105"/>
      <c r="D20" s="106"/>
      <c r="E20" s="107"/>
      <c r="F20" s="111"/>
      <c r="G20" s="112"/>
      <c r="H20" s="111"/>
      <c r="I20" s="88"/>
      <c r="J20" s="88"/>
      <c r="K20" s="91"/>
      <c r="L20" s="91"/>
      <c r="M20" s="91"/>
      <c r="N20" s="91"/>
      <c r="O20" s="77"/>
      <c r="P20" s="91"/>
      <c r="Q20" s="91"/>
      <c r="R20" s="91"/>
      <c r="S20" s="91"/>
      <c r="T20" s="77"/>
      <c r="U20" s="91"/>
      <c r="V20" s="91"/>
      <c r="W20" s="91"/>
      <c r="X20" s="91"/>
      <c r="Y20" s="77"/>
      <c r="Z20" s="92" t="s">
        <v>5</v>
      </c>
      <c r="AA20" s="92"/>
      <c r="AB20" s="27"/>
    </row>
    <row r="21" spans="2:36" ht="48" x14ac:dyDescent="0.2">
      <c r="B21" s="104"/>
      <c r="C21" s="108"/>
      <c r="D21" s="109"/>
      <c r="E21" s="110"/>
      <c r="F21" s="111"/>
      <c r="G21" s="113"/>
      <c r="H21" s="111"/>
      <c r="I21" s="89"/>
      <c r="J21" s="89"/>
      <c r="K21" s="6" t="s">
        <v>6</v>
      </c>
      <c r="L21" s="6" t="s">
        <v>7</v>
      </c>
      <c r="M21" s="6" t="s">
        <v>8</v>
      </c>
      <c r="N21" s="6" t="s">
        <v>9</v>
      </c>
      <c r="O21" s="52" t="s">
        <v>38</v>
      </c>
      <c r="P21" s="7" t="s">
        <v>10</v>
      </c>
      <c r="Q21" s="7" t="s">
        <v>11</v>
      </c>
      <c r="R21" s="7" t="s">
        <v>12</v>
      </c>
      <c r="S21" s="78">
        <v>45168</v>
      </c>
      <c r="T21" s="52" t="s">
        <v>36</v>
      </c>
      <c r="U21" s="73" t="s">
        <v>14</v>
      </c>
      <c r="V21" s="73" t="s">
        <v>15</v>
      </c>
      <c r="W21" s="73" t="s">
        <v>16</v>
      </c>
      <c r="X21" s="73" t="s">
        <v>17</v>
      </c>
      <c r="Y21" s="52" t="s">
        <v>37</v>
      </c>
      <c r="Z21" s="23" t="s">
        <v>33</v>
      </c>
      <c r="AA21" s="23" t="s">
        <v>34</v>
      </c>
      <c r="AB21" s="23" t="s">
        <v>97</v>
      </c>
      <c r="AC21" s="8"/>
    </row>
    <row r="22" spans="2:36" hidden="1" x14ac:dyDescent="0.2">
      <c r="B22" s="5"/>
      <c r="C22" s="144" t="s">
        <v>20</v>
      </c>
      <c r="D22" s="145"/>
      <c r="E22" s="145"/>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f>SUM(R24:R26)</f>
        <v>16896</v>
      </c>
      <c r="S22" s="18"/>
      <c r="T22" s="53">
        <f>SUM(P22:S22)</f>
        <v>51087</v>
      </c>
      <c r="U22" s="18"/>
      <c r="V22" s="18"/>
      <c r="W22" s="18"/>
      <c r="X22" s="18"/>
      <c r="Y22" s="53">
        <f>SUM(U22:X22)</f>
        <v>0</v>
      </c>
      <c r="Z22" s="15">
        <f>SUM(O22+T22+Y22)</f>
        <v>120760</v>
      </c>
      <c r="AA22" s="26">
        <f>SUM(Z22/J22)</f>
        <v>0.9005891565366545</v>
      </c>
      <c r="AB22" s="141">
        <v>42972820</v>
      </c>
    </row>
    <row r="23" spans="2:36" ht="76.5" hidden="1" x14ac:dyDescent="0.2">
      <c r="B23" s="5"/>
      <c r="C23" s="83"/>
      <c r="D23" s="84"/>
      <c r="E23" s="85"/>
      <c r="F23" s="16" t="s">
        <v>21</v>
      </c>
      <c r="G23" s="11"/>
      <c r="H23" s="12" t="s">
        <v>18</v>
      </c>
      <c r="I23" s="18">
        <v>90888</v>
      </c>
      <c r="J23" s="18">
        <v>134090</v>
      </c>
      <c r="K23" s="18">
        <f>K24+K25+K26</f>
        <v>17885</v>
      </c>
      <c r="L23" s="18">
        <f>SUM(L24:L26)</f>
        <v>17934</v>
      </c>
      <c r="M23" s="18">
        <f>SUM(M24:M26)</f>
        <v>14991</v>
      </c>
      <c r="N23" s="15">
        <f>SUM(N24:N26)</f>
        <v>18863</v>
      </c>
      <c r="O23" s="53">
        <f t="shared" ref="O23:O44" si="0">SUM(K23:N23)</f>
        <v>69673</v>
      </c>
      <c r="P23" s="15">
        <f>+P22</f>
        <v>18277</v>
      </c>
      <c r="Q23" s="15">
        <f>SUM(Q24:Q26)</f>
        <v>15914</v>
      </c>
      <c r="R23" s="15">
        <f>+R22</f>
        <v>16896</v>
      </c>
      <c r="S23" s="15"/>
      <c r="T23" s="53">
        <f t="shared" ref="T23:T44" si="1">SUM(P23:S23)</f>
        <v>51087</v>
      </c>
      <c r="U23" s="18"/>
      <c r="V23" s="15"/>
      <c r="W23" s="15"/>
      <c r="X23" s="15"/>
      <c r="Y23" s="53">
        <f t="shared" ref="Y23:Y44" si="2">SUM(U23:X23)</f>
        <v>0</v>
      </c>
      <c r="Z23" s="15">
        <f>SUM(O23+T23+Y23)</f>
        <v>120760</v>
      </c>
      <c r="AA23" s="26">
        <f t="shared" ref="AA23:AA26" si="3">SUM(Z23/J23)</f>
        <v>0.9005891565366545</v>
      </c>
      <c r="AB23" s="142"/>
    </row>
    <row r="24" spans="2:36" ht="38.25" hidden="1" x14ac:dyDescent="0.2">
      <c r="B24" s="5"/>
      <c r="C24" s="83"/>
      <c r="D24" s="84"/>
      <c r="E24" s="85"/>
      <c r="F24" s="21"/>
      <c r="G24" s="17" t="s">
        <v>88</v>
      </c>
      <c r="H24" s="12" t="s">
        <v>18</v>
      </c>
      <c r="I24" s="18">
        <v>13344</v>
      </c>
      <c r="J24" s="18">
        <v>30762</v>
      </c>
      <c r="K24" s="18">
        <f>1055+1453</f>
        <v>2508</v>
      </c>
      <c r="L24" s="15">
        <f>889+1332</f>
        <v>2221</v>
      </c>
      <c r="M24" s="15">
        <f>834+1212</f>
        <v>2046</v>
      </c>
      <c r="N24" s="15">
        <f>1095+1559</f>
        <v>2654</v>
      </c>
      <c r="O24" s="53">
        <f t="shared" si="0"/>
        <v>9429</v>
      </c>
      <c r="P24" s="15">
        <f>1133+1609</f>
        <v>2742</v>
      </c>
      <c r="Q24" s="15">
        <f>1022+1506</f>
        <v>2528</v>
      </c>
      <c r="R24" s="15">
        <f>1004+1509</f>
        <v>2513</v>
      </c>
      <c r="S24" s="15"/>
      <c r="T24" s="53">
        <f t="shared" si="1"/>
        <v>7783</v>
      </c>
      <c r="U24" s="15"/>
      <c r="V24" s="15"/>
      <c r="W24" s="15"/>
      <c r="X24" s="15"/>
      <c r="Y24" s="53">
        <f t="shared" si="2"/>
        <v>0</v>
      </c>
      <c r="Z24" s="15">
        <f>Y24+T24+O24</f>
        <v>17212</v>
      </c>
      <c r="AA24" s="26">
        <f t="shared" si="3"/>
        <v>0.5595214875495742</v>
      </c>
      <c r="AB24" s="142"/>
    </row>
    <row r="25" spans="2:36" ht="25.5" hidden="1" x14ac:dyDescent="0.2">
      <c r="B25" s="5"/>
      <c r="C25" s="83"/>
      <c r="D25" s="84"/>
      <c r="E25" s="85"/>
      <c r="F25" s="21"/>
      <c r="G25" s="17" t="s">
        <v>23</v>
      </c>
      <c r="H25" s="12" t="s">
        <v>18</v>
      </c>
      <c r="I25" s="18">
        <v>41250</v>
      </c>
      <c r="J25" s="18">
        <v>28598</v>
      </c>
      <c r="K25" s="15">
        <v>2970</v>
      </c>
      <c r="L25" s="15">
        <v>3119</v>
      </c>
      <c r="M25" s="15">
        <v>2463</v>
      </c>
      <c r="N25" s="15">
        <v>3064</v>
      </c>
      <c r="O25" s="53">
        <f t="shared" si="0"/>
        <v>11616</v>
      </c>
      <c r="P25" s="15">
        <v>2887</v>
      </c>
      <c r="Q25" s="15">
        <v>2479</v>
      </c>
      <c r="R25" s="15">
        <v>2705</v>
      </c>
      <c r="S25" s="15"/>
      <c r="T25" s="53">
        <f t="shared" si="1"/>
        <v>8071</v>
      </c>
      <c r="U25" s="15"/>
      <c r="V25" s="15"/>
      <c r="W25" s="15"/>
      <c r="X25" s="15"/>
      <c r="Y25" s="53">
        <f t="shared" si="2"/>
        <v>0</v>
      </c>
      <c r="Z25" s="15">
        <f t="shared" ref="Z25:Z26" si="4">Y25+T25+O25</f>
        <v>19687</v>
      </c>
      <c r="AA25" s="26">
        <f t="shared" si="3"/>
        <v>0.68840478355129731</v>
      </c>
      <c r="AB25" s="142"/>
    </row>
    <row r="26" spans="2:36" ht="39" hidden="1" thickBot="1" x14ac:dyDescent="0.25">
      <c r="B26" s="5"/>
      <c r="C26" s="83"/>
      <c r="D26" s="84"/>
      <c r="E26" s="85"/>
      <c r="F26" s="21"/>
      <c r="G26" s="71" t="s">
        <v>89</v>
      </c>
      <c r="H26" s="12" t="s">
        <v>18</v>
      </c>
      <c r="I26" s="72">
        <v>77010</v>
      </c>
      <c r="J26" s="72">
        <v>74730</v>
      </c>
      <c r="K26" s="15">
        <f>5558+6849</f>
        <v>12407</v>
      </c>
      <c r="L26" s="15">
        <f>5572+7022</f>
        <v>12594</v>
      </c>
      <c r="M26" s="15">
        <f>4647+5835</f>
        <v>10482</v>
      </c>
      <c r="N26" s="15">
        <f>5840+7305</f>
        <v>13145</v>
      </c>
      <c r="O26" s="53">
        <f t="shared" si="0"/>
        <v>48628</v>
      </c>
      <c r="P26" s="15">
        <f>5637+7011</f>
        <v>12648</v>
      </c>
      <c r="Q26" s="15">
        <f>4825+6082</f>
        <v>10907</v>
      </c>
      <c r="R26" s="15">
        <f>5147+6531</f>
        <v>11678</v>
      </c>
      <c r="S26" s="15"/>
      <c r="T26" s="53">
        <f t="shared" si="1"/>
        <v>35233</v>
      </c>
      <c r="U26" s="15"/>
      <c r="V26" s="15"/>
      <c r="W26" s="15"/>
      <c r="X26" s="15"/>
      <c r="Y26" s="53">
        <f t="shared" si="2"/>
        <v>0</v>
      </c>
      <c r="Z26" s="15">
        <f t="shared" si="4"/>
        <v>83861</v>
      </c>
      <c r="AA26" s="26">
        <f t="shared" si="3"/>
        <v>1.1221865382042018</v>
      </c>
      <c r="AB26" s="143"/>
    </row>
    <row r="27" spans="2:36" ht="15.75" hidden="1" thickTop="1" x14ac:dyDescent="0.2">
      <c r="B27" s="5"/>
      <c r="C27" s="74"/>
      <c r="D27" s="75"/>
      <c r="E27" s="76"/>
      <c r="F27" s="21"/>
      <c r="G27" s="17"/>
      <c r="H27" s="12"/>
      <c r="I27" s="18"/>
      <c r="J27" s="18"/>
      <c r="K27" s="15"/>
      <c r="L27" s="15"/>
      <c r="M27" s="15"/>
      <c r="N27" s="15"/>
      <c r="O27" s="53">
        <f t="shared" si="0"/>
        <v>0</v>
      </c>
      <c r="P27" s="15"/>
      <c r="Q27" s="15"/>
      <c r="R27" s="15"/>
      <c r="S27" s="15"/>
      <c r="T27" s="53">
        <f t="shared" si="1"/>
        <v>0</v>
      </c>
      <c r="U27" s="15"/>
      <c r="V27" s="15"/>
      <c r="W27" s="15"/>
      <c r="X27" s="15"/>
      <c r="Y27" s="53">
        <f t="shared" si="2"/>
        <v>0</v>
      </c>
      <c r="Z27" s="15"/>
      <c r="AA27" s="26"/>
      <c r="AB27" s="13"/>
    </row>
    <row r="28" spans="2:36" ht="15" hidden="1" x14ac:dyDescent="0.2">
      <c r="B28" s="5"/>
      <c r="C28" s="74"/>
      <c r="D28" s="75"/>
      <c r="E28" s="76"/>
      <c r="F28" s="21"/>
      <c r="G28" s="17"/>
      <c r="H28" s="12"/>
      <c r="I28" s="18"/>
      <c r="J28" s="18"/>
      <c r="K28" s="15"/>
      <c r="L28" s="15"/>
      <c r="M28" s="15"/>
      <c r="N28" s="15"/>
      <c r="O28" s="53">
        <f t="shared" si="0"/>
        <v>0</v>
      </c>
      <c r="P28" s="15"/>
      <c r="Q28" s="15"/>
      <c r="R28" s="15"/>
      <c r="S28" s="15"/>
      <c r="T28" s="53">
        <f t="shared" si="1"/>
        <v>0</v>
      </c>
      <c r="U28" s="15"/>
      <c r="V28" s="15"/>
      <c r="W28" s="15"/>
      <c r="X28" s="15"/>
      <c r="Y28" s="53">
        <f t="shared" si="2"/>
        <v>0</v>
      </c>
      <c r="Z28" s="15"/>
      <c r="AA28" s="26"/>
      <c r="AB28" s="13"/>
    </row>
    <row r="29" spans="2:36" ht="25.5" x14ac:dyDescent="0.2">
      <c r="B29" s="5"/>
      <c r="C29" s="83"/>
      <c r="D29" s="84"/>
      <c r="E29" s="85"/>
      <c r="F29" s="21"/>
      <c r="G29" s="41" t="s">
        <v>54</v>
      </c>
      <c r="H29" s="12" t="s">
        <v>19</v>
      </c>
      <c r="I29" s="42">
        <v>6</v>
      </c>
      <c r="J29" s="42">
        <v>6</v>
      </c>
      <c r="K29" s="42">
        <v>1</v>
      </c>
      <c r="L29" s="42">
        <v>1</v>
      </c>
      <c r="M29" s="42">
        <v>1</v>
      </c>
      <c r="N29" s="42">
        <v>4</v>
      </c>
      <c r="O29" s="53">
        <f t="shared" si="0"/>
        <v>7</v>
      </c>
      <c r="P29" s="42">
        <v>1</v>
      </c>
      <c r="Q29" s="42">
        <v>0</v>
      </c>
      <c r="R29" s="42">
        <v>0</v>
      </c>
      <c r="S29" s="42">
        <v>0</v>
      </c>
      <c r="T29" s="53">
        <f t="shared" si="1"/>
        <v>1</v>
      </c>
      <c r="U29" s="42"/>
      <c r="V29" s="42"/>
      <c r="W29" s="42"/>
      <c r="X29" s="42"/>
      <c r="Y29" s="53">
        <f t="shared" si="2"/>
        <v>0</v>
      </c>
      <c r="Z29" s="15">
        <f t="shared" ref="Z29:Z44" si="5">SUM(O29+T29+Y29)</f>
        <v>8</v>
      </c>
      <c r="AA29" s="26">
        <f>SUM(Z29/J29)</f>
        <v>1.3333333333333333</v>
      </c>
      <c r="AB29" s="13"/>
      <c r="AJ29" s="1"/>
    </row>
    <row r="30" spans="2:36" ht="25.5" x14ac:dyDescent="0.2">
      <c r="B30" s="5"/>
      <c r="C30" s="83"/>
      <c r="D30" s="84"/>
      <c r="E30" s="85"/>
      <c r="F30" s="21"/>
      <c r="G30" s="41" t="s">
        <v>25</v>
      </c>
      <c r="H30" s="12" t="s">
        <v>19</v>
      </c>
      <c r="I30" s="42">
        <v>6</v>
      </c>
      <c r="J30" s="42">
        <v>6</v>
      </c>
      <c r="K30" s="42">
        <v>0</v>
      </c>
      <c r="L30" s="42">
        <v>1</v>
      </c>
      <c r="M30" s="42">
        <v>0</v>
      </c>
      <c r="N30" s="42">
        <v>0</v>
      </c>
      <c r="O30" s="53">
        <f t="shared" si="0"/>
        <v>1</v>
      </c>
      <c r="P30" s="42">
        <v>0</v>
      </c>
      <c r="Q30" s="42">
        <v>5</v>
      </c>
      <c r="R30" s="42">
        <v>0</v>
      </c>
      <c r="S30" s="42">
        <v>0</v>
      </c>
      <c r="T30" s="53">
        <f t="shared" si="1"/>
        <v>5</v>
      </c>
      <c r="U30" s="42"/>
      <c r="V30" s="42"/>
      <c r="W30" s="42"/>
      <c r="X30" s="42"/>
      <c r="Y30" s="53">
        <f t="shared" si="2"/>
        <v>0</v>
      </c>
      <c r="Z30" s="15">
        <f t="shared" si="5"/>
        <v>6</v>
      </c>
      <c r="AA30" s="26">
        <f t="shared" ref="AA30:AA44" si="6">SUM(Z30/J30)</f>
        <v>1</v>
      </c>
      <c r="AB30" s="13"/>
      <c r="AJ30" s="1"/>
    </row>
    <row r="31" spans="2:36" ht="25.5" x14ac:dyDescent="0.2">
      <c r="B31" s="5"/>
      <c r="C31" s="83"/>
      <c r="D31" s="84"/>
      <c r="E31" s="85"/>
      <c r="F31" s="21"/>
      <c r="G31" s="41" t="s">
        <v>55</v>
      </c>
      <c r="H31" s="12" t="s">
        <v>19</v>
      </c>
      <c r="I31" s="42">
        <v>6564</v>
      </c>
      <c r="J31" s="42">
        <v>6564</v>
      </c>
      <c r="K31" s="42">
        <v>729</v>
      </c>
      <c r="L31" s="42">
        <v>673</v>
      </c>
      <c r="M31" s="42">
        <v>551</v>
      </c>
      <c r="N31" s="42">
        <v>738</v>
      </c>
      <c r="O31" s="53">
        <f t="shared" si="0"/>
        <v>2691</v>
      </c>
      <c r="P31" s="42">
        <v>821</v>
      </c>
      <c r="Q31" s="42">
        <v>694</v>
      </c>
      <c r="R31" s="42">
        <v>700</v>
      </c>
      <c r="S31" s="42">
        <v>598</v>
      </c>
      <c r="T31" s="53">
        <f t="shared" si="1"/>
        <v>2813</v>
      </c>
      <c r="U31" s="42"/>
      <c r="V31" s="42"/>
      <c r="W31" s="42"/>
      <c r="X31" s="42"/>
      <c r="Y31" s="53">
        <f t="shared" si="2"/>
        <v>0</v>
      </c>
      <c r="Z31" s="15">
        <f t="shared" si="5"/>
        <v>5504</v>
      </c>
      <c r="AA31" s="26">
        <f t="shared" si="6"/>
        <v>0.83851310176721516</v>
      </c>
      <c r="AB31" s="13"/>
      <c r="AJ31" s="1"/>
    </row>
    <row r="32" spans="2:36" ht="15" x14ac:dyDescent="0.2">
      <c r="B32" s="5"/>
      <c r="C32" s="83"/>
      <c r="D32" s="84"/>
      <c r="E32" s="85"/>
      <c r="F32" s="21"/>
      <c r="G32" s="41" t="s">
        <v>56</v>
      </c>
      <c r="H32" s="12" t="s">
        <v>19</v>
      </c>
      <c r="I32" s="42">
        <v>3900</v>
      </c>
      <c r="J32" s="42">
        <v>3900</v>
      </c>
      <c r="K32" s="42">
        <v>372</v>
      </c>
      <c r="L32" s="42">
        <v>367</v>
      </c>
      <c r="M32" s="42">
        <v>368</v>
      </c>
      <c r="N32" s="42">
        <v>429</v>
      </c>
      <c r="O32" s="53">
        <f t="shared" si="0"/>
        <v>1536</v>
      </c>
      <c r="P32" s="42">
        <v>420</v>
      </c>
      <c r="Q32" s="42">
        <v>432</v>
      </c>
      <c r="R32" s="42">
        <v>418</v>
      </c>
      <c r="S32" s="42">
        <v>296</v>
      </c>
      <c r="T32" s="53">
        <f t="shared" si="1"/>
        <v>1566</v>
      </c>
      <c r="U32" s="42"/>
      <c r="V32" s="42"/>
      <c r="W32" s="42"/>
      <c r="X32" s="42"/>
      <c r="Y32" s="53">
        <f t="shared" si="2"/>
        <v>0</v>
      </c>
      <c r="Z32" s="15">
        <f t="shared" si="5"/>
        <v>3102</v>
      </c>
      <c r="AA32" s="26">
        <f t="shared" si="6"/>
        <v>0.79538461538461536</v>
      </c>
      <c r="AB32" s="13"/>
      <c r="AJ32" s="1"/>
    </row>
    <row r="33" spans="2:36" ht="25.5" x14ac:dyDescent="0.2">
      <c r="B33" s="5"/>
      <c r="C33" s="83"/>
      <c r="D33" s="84"/>
      <c r="E33" s="85"/>
      <c r="F33" s="21"/>
      <c r="G33" s="41" t="s">
        <v>57</v>
      </c>
      <c r="H33" s="12" t="s">
        <v>19</v>
      </c>
      <c r="I33" s="42">
        <v>9312</v>
      </c>
      <c r="J33" s="42">
        <v>9312</v>
      </c>
      <c r="K33" s="42">
        <v>748</v>
      </c>
      <c r="L33" s="42">
        <v>709</v>
      </c>
      <c r="M33" s="42">
        <v>617</v>
      </c>
      <c r="N33" s="42">
        <v>822</v>
      </c>
      <c r="O33" s="53">
        <f t="shared" si="0"/>
        <v>2896</v>
      </c>
      <c r="P33" s="42">
        <v>871</v>
      </c>
      <c r="Q33" s="42">
        <v>807</v>
      </c>
      <c r="R33" s="42">
        <v>875</v>
      </c>
      <c r="S33" s="42">
        <v>697</v>
      </c>
      <c r="T33" s="53">
        <f t="shared" si="1"/>
        <v>3250</v>
      </c>
      <c r="U33" s="42"/>
      <c r="V33" s="42"/>
      <c r="W33" s="42"/>
      <c r="X33" s="42"/>
      <c r="Y33" s="53">
        <f t="shared" si="2"/>
        <v>0</v>
      </c>
      <c r="Z33" s="15">
        <f t="shared" si="5"/>
        <v>6146</v>
      </c>
      <c r="AA33" s="26">
        <f t="shared" si="6"/>
        <v>0.66000859106529208</v>
      </c>
      <c r="AB33" s="13"/>
      <c r="AJ33" s="1"/>
    </row>
    <row r="34" spans="2:36" ht="25.5" x14ac:dyDescent="0.2">
      <c r="B34" s="5"/>
      <c r="C34" s="83"/>
      <c r="D34" s="84"/>
      <c r="E34" s="85"/>
      <c r="F34" s="21"/>
      <c r="G34" s="41" t="s">
        <v>58</v>
      </c>
      <c r="H34" s="12" t="s">
        <v>19</v>
      </c>
      <c r="I34" s="42">
        <v>16164</v>
      </c>
      <c r="J34" s="42">
        <v>16164</v>
      </c>
      <c r="K34" s="42">
        <v>1464</v>
      </c>
      <c r="L34" s="42">
        <v>1469</v>
      </c>
      <c r="M34" s="42">
        <v>1265</v>
      </c>
      <c r="N34" s="42">
        <v>1637</v>
      </c>
      <c r="O34" s="53">
        <f t="shared" si="0"/>
        <v>5835</v>
      </c>
      <c r="P34" s="42">
        <v>1541</v>
      </c>
      <c r="Q34" s="42">
        <v>1372</v>
      </c>
      <c r="R34" s="42">
        <v>1534</v>
      </c>
      <c r="S34" s="42">
        <v>1303</v>
      </c>
      <c r="T34" s="53">
        <f t="shared" si="1"/>
        <v>5750</v>
      </c>
      <c r="U34" s="42"/>
      <c r="V34" s="42"/>
      <c r="W34" s="42"/>
      <c r="X34" s="42"/>
      <c r="Y34" s="53">
        <f t="shared" si="2"/>
        <v>0</v>
      </c>
      <c r="Z34" s="15">
        <f t="shared" si="5"/>
        <v>11585</v>
      </c>
      <c r="AA34" s="26">
        <f t="shared" si="6"/>
        <v>0.71671615936649347</v>
      </c>
      <c r="AB34" s="13"/>
      <c r="AJ34" s="1"/>
    </row>
    <row r="35" spans="2:36" ht="25.5" x14ac:dyDescent="0.2">
      <c r="B35" s="5"/>
      <c r="C35" s="83"/>
      <c r="D35" s="84"/>
      <c r="E35" s="85"/>
      <c r="F35" s="21"/>
      <c r="G35" s="41" t="s">
        <v>59</v>
      </c>
      <c r="H35" s="12" t="s">
        <v>19</v>
      </c>
      <c r="I35" s="42">
        <v>36060</v>
      </c>
      <c r="J35" s="42">
        <v>36060</v>
      </c>
      <c r="K35" s="42">
        <v>3901</v>
      </c>
      <c r="L35" s="42">
        <v>3794</v>
      </c>
      <c r="M35" s="42">
        <v>3397</v>
      </c>
      <c r="N35" s="42">
        <v>4168</v>
      </c>
      <c r="O35" s="53">
        <f t="shared" si="0"/>
        <v>15260</v>
      </c>
      <c r="P35" s="42">
        <v>4363</v>
      </c>
      <c r="Q35" s="42">
        <v>3867</v>
      </c>
      <c r="R35" s="42">
        <v>4004</v>
      </c>
      <c r="S35" s="42">
        <v>2917</v>
      </c>
      <c r="T35" s="53">
        <f t="shared" si="1"/>
        <v>15151</v>
      </c>
      <c r="U35" s="42"/>
      <c r="V35" s="42"/>
      <c r="W35" s="42"/>
      <c r="X35" s="42"/>
      <c r="Y35" s="53">
        <f t="shared" si="2"/>
        <v>0</v>
      </c>
      <c r="Z35" s="15">
        <f t="shared" si="5"/>
        <v>30411</v>
      </c>
      <c r="AA35" s="26">
        <f t="shared" si="6"/>
        <v>0.84334442595673875</v>
      </c>
      <c r="AB35" s="13"/>
      <c r="AJ35" s="1"/>
    </row>
    <row r="36" spans="2:36" ht="25.5" x14ac:dyDescent="0.2">
      <c r="B36" s="5"/>
      <c r="C36" s="83"/>
      <c r="D36" s="84"/>
      <c r="E36" s="85"/>
      <c r="F36" s="21"/>
      <c r="G36" s="41" t="s">
        <v>60</v>
      </c>
      <c r="H36" s="12" t="s">
        <v>19</v>
      </c>
      <c r="I36" s="42">
        <v>6444</v>
      </c>
      <c r="J36" s="42">
        <v>6444</v>
      </c>
      <c r="K36" s="42">
        <v>576</v>
      </c>
      <c r="L36" s="42">
        <v>545</v>
      </c>
      <c r="M36" s="42">
        <v>400</v>
      </c>
      <c r="N36" s="42">
        <v>569</v>
      </c>
      <c r="O36" s="53">
        <f t="shared" si="0"/>
        <v>2090</v>
      </c>
      <c r="P36" s="42">
        <v>566</v>
      </c>
      <c r="Q36" s="42">
        <v>470</v>
      </c>
      <c r="R36" s="42">
        <v>522</v>
      </c>
      <c r="S36" s="42">
        <v>470</v>
      </c>
      <c r="T36" s="53">
        <f t="shared" si="1"/>
        <v>2028</v>
      </c>
      <c r="U36" s="42"/>
      <c r="V36" s="42"/>
      <c r="W36" s="42"/>
      <c r="X36" s="42"/>
      <c r="Y36" s="53">
        <f t="shared" si="2"/>
        <v>0</v>
      </c>
      <c r="Z36" s="15">
        <f t="shared" si="5"/>
        <v>4118</v>
      </c>
      <c r="AA36" s="26">
        <f t="shared" si="6"/>
        <v>0.63904407200496582</v>
      </c>
      <c r="AB36" s="13"/>
      <c r="AJ36" s="1"/>
    </row>
    <row r="37" spans="2:36" ht="15" x14ac:dyDescent="0.2">
      <c r="B37" s="5"/>
      <c r="C37" s="83"/>
      <c r="D37" s="84"/>
      <c r="E37" s="85"/>
      <c r="F37" s="21"/>
      <c r="G37" s="41" t="s">
        <v>61</v>
      </c>
      <c r="H37" s="12" t="s">
        <v>19</v>
      </c>
      <c r="I37" s="42">
        <v>3936</v>
      </c>
      <c r="J37" s="42">
        <v>3936</v>
      </c>
      <c r="K37" s="42">
        <v>413</v>
      </c>
      <c r="L37" s="42">
        <v>472</v>
      </c>
      <c r="M37" s="42">
        <v>312</v>
      </c>
      <c r="N37" s="42">
        <v>414</v>
      </c>
      <c r="O37" s="53">
        <f t="shared" si="0"/>
        <v>1611</v>
      </c>
      <c r="P37" s="42">
        <v>464</v>
      </c>
      <c r="Q37" s="42">
        <v>417</v>
      </c>
      <c r="R37" s="42">
        <v>390</v>
      </c>
      <c r="S37" s="42">
        <v>278</v>
      </c>
      <c r="T37" s="53">
        <f t="shared" si="1"/>
        <v>1549</v>
      </c>
      <c r="U37" s="42"/>
      <c r="V37" s="42"/>
      <c r="W37" s="42"/>
      <c r="X37" s="42"/>
      <c r="Y37" s="53">
        <f t="shared" si="2"/>
        <v>0</v>
      </c>
      <c r="Z37" s="15">
        <f t="shared" si="5"/>
        <v>3160</v>
      </c>
      <c r="AA37" s="26">
        <f t="shared" si="6"/>
        <v>0.80284552845528456</v>
      </c>
      <c r="AB37" s="13"/>
      <c r="AJ37" s="1"/>
    </row>
    <row r="38" spans="2:36" ht="25.5" x14ac:dyDescent="0.2">
      <c r="B38" s="5"/>
      <c r="C38" s="83"/>
      <c r="D38" s="84"/>
      <c r="E38" s="85"/>
      <c r="F38" s="21"/>
      <c r="G38" s="41" t="s">
        <v>62</v>
      </c>
      <c r="H38" s="12" t="s">
        <v>19</v>
      </c>
      <c r="I38" s="42">
        <v>24984</v>
      </c>
      <c r="J38" s="42">
        <v>24984</v>
      </c>
      <c r="K38" s="42">
        <v>2650</v>
      </c>
      <c r="L38" s="42">
        <v>2710</v>
      </c>
      <c r="M38" s="42">
        <v>2420</v>
      </c>
      <c r="N38" s="42">
        <v>2901</v>
      </c>
      <c r="O38" s="53">
        <f t="shared" si="0"/>
        <v>10681</v>
      </c>
      <c r="P38" s="42">
        <v>2902</v>
      </c>
      <c r="Q38" s="42">
        <v>2586</v>
      </c>
      <c r="R38" s="42">
        <v>2891</v>
      </c>
      <c r="S38" s="42">
        <v>2000</v>
      </c>
      <c r="T38" s="53">
        <f t="shared" si="1"/>
        <v>10379</v>
      </c>
      <c r="U38" s="42"/>
      <c r="V38" s="42"/>
      <c r="W38" s="42"/>
      <c r="X38" s="42"/>
      <c r="Y38" s="53">
        <f t="shared" si="2"/>
        <v>0</v>
      </c>
      <c r="Z38" s="15">
        <f t="shared" si="5"/>
        <v>21060</v>
      </c>
      <c r="AA38" s="26">
        <f t="shared" si="6"/>
        <v>0.84293948126801155</v>
      </c>
      <c r="AB38" s="13"/>
      <c r="AJ38" s="1"/>
    </row>
    <row r="39" spans="2:36" ht="15" x14ac:dyDescent="0.2">
      <c r="B39" s="5"/>
      <c r="C39" s="83"/>
      <c r="D39" s="84"/>
      <c r="E39" s="85"/>
      <c r="F39" s="21"/>
      <c r="G39" s="41" t="s">
        <v>63</v>
      </c>
      <c r="H39" s="12" t="s">
        <v>19</v>
      </c>
      <c r="I39" s="42">
        <v>1872</v>
      </c>
      <c r="J39" s="42">
        <v>1872</v>
      </c>
      <c r="K39" s="42">
        <v>100</v>
      </c>
      <c r="L39" s="42">
        <v>184</v>
      </c>
      <c r="M39" s="42">
        <v>104</v>
      </c>
      <c r="N39" s="42">
        <v>109</v>
      </c>
      <c r="O39" s="53">
        <f t="shared" si="0"/>
        <v>497</v>
      </c>
      <c r="P39" s="42">
        <v>92</v>
      </c>
      <c r="Q39" s="42">
        <v>151</v>
      </c>
      <c r="R39" s="42">
        <v>124</v>
      </c>
      <c r="S39" s="42">
        <v>119</v>
      </c>
      <c r="T39" s="53">
        <f t="shared" si="1"/>
        <v>486</v>
      </c>
      <c r="U39" s="42"/>
      <c r="V39" s="42"/>
      <c r="W39" s="42"/>
      <c r="X39" s="42"/>
      <c r="Y39" s="53">
        <f t="shared" si="2"/>
        <v>0</v>
      </c>
      <c r="Z39" s="15">
        <f t="shared" si="5"/>
        <v>983</v>
      </c>
      <c r="AA39" s="26">
        <f t="shared" si="6"/>
        <v>0.52510683760683763</v>
      </c>
      <c r="AB39" s="13"/>
      <c r="AJ39" s="1"/>
    </row>
    <row r="40" spans="2:36" ht="15" x14ac:dyDescent="0.2">
      <c r="B40" s="5"/>
      <c r="C40" s="83"/>
      <c r="D40" s="84"/>
      <c r="E40" s="85"/>
      <c r="F40" s="21"/>
      <c r="G40" s="41" t="s">
        <v>26</v>
      </c>
      <c r="H40" s="12" t="s">
        <v>19</v>
      </c>
      <c r="I40" s="42">
        <v>252</v>
      </c>
      <c r="J40" s="42">
        <v>252</v>
      </c>
      <c r="K40" s="42">
        <v>12</v>
      </c>
      <c r="L40" s="42">
        <v>13</v>
      </c>
      <c r="M40" s="42">
        <v>8</v>
      </c>
      <c r="N40" s="42">
        <v>10</v>
      </c>
      <c r="O40" s="53">
        <f t="shared" si="0"/>
        <v>43</v>
      </c>
      <c r="P40" s="42">
        <v>7</v>
      </c>
      <c r="Q40" s="42">
        <v>9</v>
      </c>
      <c r="R40" s="42">
        <v>6</v>
      </c>
      <c r="S40" s="42">
        <v>3</v>
      </c>
      <c r="T40" s="53">
        <f t="shared" si="1"/>
        <v>25</v>
      </c>
      <c r="U40" s="42"/>
      <c r="V40" s="42"/>
      <c r="W40" s="42"/>
      <c r="X40" s="42"/>
      <c r="Y40" s="53">
        <f t="shared" si="2"/>
        <v>0</v>
      </c>
      <c r="Z40" s="15">
        <f t="shared" si="5"/>
        <v>68</v>
      </c>
      <c r="AA40" s="26">
        <f t="shared" si="6"/>
        <v>0.26984126984126983</v>
      </c>
      <c r="AB40" s="13"/>
      <c r="AJ40" s="1"/>
    </row>
    <row r="41" spans="2:36" ht="15" x14ac:dyDescent="0.2">
      <c r="B41" s="5"/>
      <c r="C41" s="83"/>
      <c r="D41" s="84"/>
      <c r="E41" s="85"/>
      <c r="F41" s="21"/>
      <c r="G41" s="17" t="s">
        <v>64</v>
      </c>
      <c r="H41" s="12" t="s">
        <v>19</v>
      </c>
      <c r="I41" s="42">
        <v>113760</v>
      </c>
      <c r="J41" s="42">
        <v>113760</v>
      </c>
      <c r="K41" s="42">
        <v>9340</v>
      </c>
      <c r="L41" s="42">
        <v>9365</v>
      </c>
      <c r="M41" s="42">
        <v>7751</v>
      </c>
      <c r="N41" s="42">
        <v>10009</v>
      </c>
      <c r="O41" s="53">
        <f t="shared" si="0"/>
        <v>36465</v>
      </c>
      <c r="P41" s="42">
        <v>10348</v>
      </c>
      <c r="Q41" s="42">
        <v>9181</v>
      </c>
      <c r="R41" s="42">
        <v>8874</v>
      </c>
      <c r="S41" s="42">
        <v>7302</v>
      </c>
      <c r="T41" s="53">
        <f t="shared" si="1"/>
        <v>35705</v>
      </c>
      <c r="U41" s="42"/>
      <c r="V41" s="42"/>
      <c r="W41" s="42"/>
      <c r="X41" s="42"/>
      <c r="Y41" s="53">
        <f t="shared" si="2"/>
        <v>0</v>
      </c>
      <c r="Z41" s="15">
        <f t="shared" si="5"/>
        <v>72170</v>
      </c>
      <c r="AA41" s="26">
        <f t="shared" si="6"/>
        <v>0.63440576652601965</v>
      </c>
      <c r="AB41" s="13"/>
      <c r="AJ41" s="1"/>
    </row>
    <row r="42" spans="2:36" ht="15" x14ac:dyDescent="0.2">
      <c r="B42" s="5"/>
      <c r="C42" s="83"/>
      <c r="D42" s="84"/>
      <c r="E42" s="85"/>
      <c r="F42" s="21"/>
      <c r="G42" s="45" t="s">
        <v>65</v>
      </c>
      <c r="H42" s="12" t="s">
        <v>66</v>
      </c>
      <c r="I42" s="42">
        <v>35592</v>
      </c>
      <c r="J42" s="42">
        <v>35592</v>
      </c>
      <c r="K42" s="42">
        <v>3369</v>
      </c>
      <c r="L42" s="42">
        <v>3259</v>
      </c>
      <c r="M42" s="42">
        <v>2795</v>
      </c>
      <c r="N42" s="42">
        <v>3693</v>
      </c>
      <c r="O42" s="53">
        <f t="shared" si="0"/>
        <v>13116</v>
      </c>
      <c r="P42" s="42">
        <v>3524</v>
      </c>
      <c r="Q42" s="42">
        <v>3337</v>
      </c>
      <c r="R42" s="42">
        <v>3486</v>
      </c>
      <c r="S42" s="42">
        <v>3019</v>
      </c>
      <c r="T42" s="53">
        <f t="shared" si="1"/>
        <v>13366</v>
      </c>
      <c r="U42" s="42"/>
      <c r="V42" s="42"/>
      <c r="W42" s="42"/>
      <c r="X42" s="42"/>
      <c r="Y42" s="53">
        <f t="shared" si="2"/>
        <v>0</v>
      </c>
      <c r="Z42" s="15">
        <f t="shared" si="5"/>
        <v>26482</v>
      </c>
      <c r="AA42" s="26">
        <f t="shared" si="6"/>
        <v>0.74404360530456282</v>
      </c>
      <c r="AB42" s="13"/>
      <c r="AJ42" s="1"/>
    </row>
    <row r="43" spans="2:36" ht="25.5" x14ac:dyDescent="0.2">
      <c r="B43" s="5"/>
      <c r="C43" s="83"/>
      <c r="D43" s="84"/>
      <c r="E43" s="85"/>
      <c r="F43" s="21"/>
      <c r="G43" s="45" t="s">
        <v>67</v>
      </c>
      <c r="H43" s="12" t="s">
        <v>19</v>
      </c>
      <c r="I43" s="42">
        <v>48</v>
      </c>
      <c r="J43" s="42">
        <v>48</v>
      </c>
      <c r="K43" s="42">
        <v>12</v>
      </c>
      <c r="L43" s="42">
        <v>7</v>
      </c>
      <c r="M43" s="42">
        <v>4</v>
      </c>
      <c r="N43" s="42">
        <v>5</v>
      </c>
      <c r="O43" s="53">
        <f t="shared" si="0"/>
        <v>28</v>
      </c>
      <c r="P43" s="42">
        <v>3</v>
      </c>
      <c r="Q43" s="42">
        <v>3</v>
      </c>
      <c r="R43" s="42">
        <v>2</v>
      </c>
      <c r="S43" s="42">
        <v>6</v>
      </c>
      <c r="T43" s="53">
        <f t="shared" si="1"/>
        <v>14</v>
      </c>
      <c r="U43" s="42"/>
      <c r="V43" s="42"/>
      <c r="W43" s="42"/>
      <c r="X43" s="42"/>
      <c r="Y43" s="53">
        <f t="shared" si="2"/>
        <v>0</v>
      </c>
      <c r="Z43" s="15">
        <f t="shared" si="5"/>
        <v>42</v>
      </c>
      <c r="AA43" s="26">
        <f t="shared" si="6"/>
        <v>0.875</v>
      </c>
      <c r="AB43" s="13"/>
      <c r="AJ43" s="1"/>
    </row>
    <row r="44" spans="2:36" ht="38.25" x14ac:dyDescent="0.2">
      <c r="B44" s="46"/>
      <c r="C44" s="74"/>
      <c r="D44" s="75"/>
      <c r="E44" s="76"/>
      <c r="F44" s="21"/>
      <c r="G44" s="47" t="s">
        <v>69</v>
      </c>
      <c r="H44" s="48" t="s">
        <v>66</v>
      </c>
      <c r="I44" s="42">
        <v>34740</v>
      </c>
      <c r="J44" s="42">
        <v>34740</v>
      </c>
      <c r="K44" s="49">
        <v>3303</v>
      </c>
      <c r="L44" s="49">
        <v>3270</v>
      </c>
      <c r="M44" s="49">
        <v>2872</v>
      </c>
      <c r="N44" s="49">
        <v>3811</v>
      </c>
      <c r="O44" s="53">
        <f t="shared" si="0"/>
        <v>13256</v>
      </c>
      <c r="P44" s="49">
        <v>3524</v>
      </c>
      <c r="Q44" s="49">
        <v>3335</v>
      </c>
      <c r="R44" s="49">
        <v>3480</v>
      </c>
      <c r="S44" s="49">
        <v>3011</v>
      </c>
      <c r="T44" s="53">
        <f t="shared" si="1"/>
        <v>13350</v>
      </c>
      <c r="U44" s="49"/>
      <c r="V44" s="49"/>
      <c r="W44" s="42"/>
      <c r="X44" s="49"/>
      <c r="Y44" s="53">
        <f t="shared" si="2"/>
        <v>0</v>
      </c>
      <c r="Z44" s="15">
        <f t="shared" si="5"/>
        <v>26606</v>
      </c>
      <c r="AA44" s="26">
        <f t="shared" si="6"/>
        <v>0.76586067933218194</v>
      </c>
      <c r="AB44" s="13"/>
      <c r="AJ44" s="1"/>
    </row>
    <row r="45" spans="2:36" ht="18.75" x14ac:dyDescent="0.3">
      <c r="B45" s="25"/>
      <c r="C45" s="86" t="s">
        <v>95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2"/>
      <c r="AD45" s="2"/>
      <c r="AE45" s="2"/>
      <c r="AF45" s="2"/>
      <c r="AG45" s="2"/>
      <c r="AH45" s="2"/>
      <c r="AI45" s="2"/>
    </row>
    <row r="46" spans="2:36" x14ac:dyDescent="0.2">
      <c r="AB46" s="19"/>
    </row>
    <row r="97" hidden="1" x14ac:dyDescent="0.2"/>
  </sheetData>
  <mergeCells count="59">
    <mergeCell ref="C26:E26"/>
    <mergeCell ref="C34:E34"/>
    <mergeCell ref="C29:E29"/>
    <mergeCell ref="C30:E30"/>
    <mergeCell ref="C31:E31"/>
    <mergeCell ref="C32:E32"/>
    <mergeCell ref="C33:E33"/>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J97"/>
  <sheetViews>
    <sheetView view="pageBreakPreview" topLeftCell="A20" zoomScale="85" zoomScaleNormal="85" zoomScaleSheetLayoutView="85" workbookViewId="0">
      <selection activeCell="G26" sqref="G26"/>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8.5703125" style="2" customWidth="1"/>
    <col min="23" max="23" width="7.42578125" style="2" customWidth="1"/>
    <col min="24" max="24" width="9"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133" t="s">
        <v>87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row>
    <row r="5" spans="1:35" ht="26.25" customHeight="1" x14ac:dyDescent="0.2">
      <c r="B5" s="134" t="s">
        <v>91</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row>
    <row r="6" spans="1:35" ht="26.45" customHeight="1" x14ac:dyDescent="0.2">
      <c r="B6" s="134" t="s">
        <v>100</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row>
    <row r="7" spans="1:35" s="4" customFormat="1" ht="19.5" customHeight="1" x14ac:dyDescent="0.2">
      <c r="A7" s="3"/>
      <c r="B7" s="121" t="s">
        <v>44</v>
      </c>
      <c r="C7" s="121"/>
      <c r="D7" s="121"/>
      <c r="E7" s="123" t="s">
        <v>0</v>
      </c>
      <c r="F7" s="123"/>
      <c r="G7" s="123"/>
      <c r="H7" s="123"/>
      <c r="I7" s="123"/>
      <c r="J7" s="123"/>
      <c r="K7" s="123"/>
      <c r="L7" s="123"/>
      <c r="M7" s="123"/>
      <c r="N7" s="123"/>
      <c r="O7" s="123"/>
      <c r="P7" s="123"/>
      <c r="Q7" s="123"/>
      <c r="R7" s="123"/>
      <c r="S7" s="123"/>
      <c r="T7" s="123"/>
      <c r="U7" s="123"/>
      <c r="V7" s="123"/>
      <c r="W7" s="123"/>
      <c r="X7" s="123"/>
      <c r="Y7" s="123"/>
      <c r="Z7" s="123"/>
      <c r="AA7" s="123"/>
      <c r="AB7" s="123"/>
      <c r="AC7" s="3"/>
      <c r="AD7" s="3"/>
      <c r="AE7" s="3"/>
      <c r="AF7" s="3"/>
      <c r="AG7" s="3"/>
      <c r="AH7" s="3"/>
      <c r="AI7" s="3"/>
    </row>
    <row r="8" spans="1:35" s="4" customFormat="1" ht="19.5" customHeight="1" x14ac:dyDescent="0.2">
      <c r="A8" s="3"/>
      <c r="B8" s="121" t="s">
        <v>45</v>
      </c>
      <c r="C8" s="121"/>
      <c r="D8" s="121"/>
      <c r="E8" s="130" t="s">
        <v>1</v>
      </c>
      <c r="F8" s="131"/>
      <c r="G8" s="131"/>
      <c r="H8" s="131"/>
      <c r="I8" s="131"/>
      <c r="J8" s="131"/>
      <c r="K8" s="131"/>
      <c r="L8" s="131"/>
      <c r="M8" s="131"/>
      <c r="N8" s="131"/>
      <c r="O8" s="131"/>
      <c r="P8" s="131"/>
      <c r="Q8" s="131"/>
      <c r="R8" s="131"/>
      <c r="S8" s="131"/>
      <c r="T8" s="131"/>
      <c r="U8" s="131"/>
      <c r="V8" s="131"/>
      <c r="W8" s="131"/>
      <c r="X8" s="131"/>
      <c r="Y8" s="131"/>
      <c r="Z8" s="131"/>
      <c r="AA8" s="131"/>
      <c r="AB8" s="131"/>
      <c r="AC8" s="3"/>
      <c r="AD8" s="3"/>
      <c r="AE8" s="3"/>
      <c r="AF8" s="3"/>
      <c r="AG8" s="3"/>
      <c r="AH8" s="3"/>
      <c r="AI8" s="3"/>
    </row>
    <row r="9" spans="1:35" s="3" customFormat="1" ht="32.25" customHeight="1" x14ac:dyDescent="0.2">
      <c r="B9" s="119" t="s">
        <v>46</v>
      </c>
      <c r="C9" s="119"/>
      <c r="D9" s="119"/>
      <c r="E9" s="120" t="s">
        <v>27</v>
      </c>
      <c r="F9" s="120"/>
      <c r="G9" s="120"/>
      <c r="H9" s="120"/>
      <c r="I9" s="120"/>
      <c r="J9" s="120"/>
      <c r="K9" s="120"/>
      <c r="L9" s="120"/>
      <c r="M9" s="120"/>
      <c r="N9" s="120"/>
      <c r="O9" s="120"/>
      <c r="P9" s="120"/>
      <c r="Q9" s="120"/>
      <c r="R9" s="120"/>
      <c r="S9" s="120"/>
      <c r="T9" s="120"/>
      <c r="U9" s="120"/>
      <c r="V9" s="120"/>
      <c r="W9" s="120"/>
      <c r="X9" s="120"/>
      <c r="Y9" s="120"/>
      <c r="Z9" s="120"/>
      <c r="AA9" s="120"/>
      <c r="AB9" s="120"/>
    </row>
    <row r="10" spans="1:35" s="3" customFormat="1" ht="133.5" customHeight="1" x14ac:dyDescent="0.2">
      <c r="B10" s="121" t="s">
        <v>2</v>
      </c>
      <c r="C10" s="121"/>
      <c r="D10" s="121"/>
      <c r="E10" s="122" t="s">
        <v>51</v>
      </c>
      <c r="F10" s="122"/>
      <c r="G10" s="122"/>
      <c r="H10" s="122"/>
      <c r="I10" s="122"/>
      <c r="J10" s="122"/>
      <c r="K10" s="122"/>
      <c r="L10" s="122"/>
      <c r="M10" s="122"/>
      <c r="N10" s="122"/>
      <c r="O10" s="122"/>
      <c r="P10" s="122"/>
      <c r="Q10" s="122"/>
      <c r="R10" s="122"/>
      <c r="S10" s="122"/>
      <c r="T10" s="122"/>
      <c r="U10" s="122"/>
      <c r="V10" s="122"/>
      <c r="W10" s="122"/>
      <c r="X10" s="122"/>
      <c r="Y10" s="122"/>
      <c r="Z10" s="122"/>
      <c r="AA10" s="122"/>
      <c r="AB10" s="122"/>
    </row>
    <row r="11" spans="1:35" ht="29.25" customHeight="1" x14ac:dyDescent="0.2">
      <c r="B11" s="121" t="s">
        <v>28</v>
      </c>
      <c r="C11" s="121"/>
      <c r="D11" s="121"/>
      <c r="E11" s="123" t="s">
        <v>94</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35" ht="24" customHeight="1" x14ac:dyDescent="0.2">
      <c r="B12" s="114" t="s">
        <v>48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2"/>
      <c r="AD12" s="2"/>
      <c r="AE12" s="2"/>
      <c r="AF12" s="2"/>
      <c r="AG12" s="2"/>
      <c r="AH12" s="2"/>
      <c r="AI12" s="2"/>
    </row>
    <row r="13" spans="1:35" s="9" customFormat="1" ht="24" customHeight="1" x14ac:dyDescent="0.2">
      <c r="B13" s="137" t="s">
        <v>39</v>
      </c>
      <c r="C13" s="137"/>
      <c r="D13" s="137"/>
      <c r="E13" s="137"/>
      <c r="F13" s="124" t="s">
        <v>47</v>
      </c>
      <c r="G13" s="125"/>
      <c r="H13" s="125"/>
      <c r="I13" s="125"/>
      <c r="J13" s="125"/>
      <c r="K13" s="125"/>
      <c r="L13" s="125"/>
      <c r="M13" s="125"/>
      <c r="N13" s="125"/>
      <c r="O13" s="125"/>
      <c r="P13" s="125"/>
      <c r="Q13" s="125"/>
      <c r="R13" s="125"/>
      <c r="S13" s="125"/>
      <c r="T13" s="125"/>
      <c r="U13" s="125"/>
      <c r="V13" s="125"/>
      <c r="W13" s="125"/>
      <c r="X13" s="125"/>
      <c r="Y13" s="125"/>
      <c r="Z13" s="125"/>
      <c r="AA13" s="125"/>
      <c r="AB13" s="125"/>
    </row>
    <row r="14" spans="1:35" s="9" customFormat="1" ht="36.75" customHeight="1" x14ac:dyDescent="0.2">
      <c r="B14" s="137" t="s">
        <v>29</v>
      </c>
      <c r="C14" s="137"/>
      <c r="D14" s="137"/>
      <c r="E14" s="137"/>
      <c r="F14" s="130" t="s">
        <v>92</v>
      </c>
      <c r="G14" s="131"/>
      <c r="H14" s="131"/>
      <c r="I14" s="131"/>
      <c r="J14" s="131"/>
      <c r="K14" s="131"/>
      <c r="L14" s="131"/>
      <c r="M14" s="131"/>
      <c r="N14" s="131"/>
      <c r="O14" s="131"/>
      <c r="P14" s="131"/>
      <c r="Q14" s="131"/>
      <c r="R14" s="131"/>
      <c r="S14" s="131"/>
      <c r="T14" s="131"/>
      <c r="U14" s="131"/>
      <c r="V14" s="131"/>
      <c r="W14" s="131"/>
      <c r="X14" s="131"/>
      <c r="Y14" s="131"/>
      <c r="Z14" s="131"/>
      <c r="AA14" s="131"/>
      <c r="AB14" s="131"/>
    </row>
    <row r="15" spans="1:35" s="9" customFormat="1" ht="23.25" customHeight="1" x14ac:dyDescent="0.2">
      <c r="B15" s="116" t="s">
        <v>49</v>
      </c>
      <c r="C15" s="117"/>
      <c r="D15" s="117"/>
      <c r="E15" s="118"/>
      <c r="F15" s="127" t="s">
        <v>50</v>
      </c>
      <c r="G15" s="128"/>
      <c r="H15" s="128"/>
      <c r="I15" s="128"/>
      <c r="J15" s="128"/>
      <c r="K15" s="128"/>
      <c r="L15" s="128"/>
      <c r="M15" s="128"/>
      <c r="N15" s="128"/>
      <c r="O15" s="128"/>
      <c r="P15" s="128"/>
      <c r="Q15" s="128"/>
      <c r="R15" s="128"/>
      <c r="S15" s="128"/>
      <c r="T15" s="128"/>
      <c r="U15" s="128"/>
      <c r="V15" s="128"/>
      <c r="W15" s="128"/>
      <c r="X15" s="128"/>
      <c r="Y15" s="128"/>
      <c r="Z15" s="128"/>
      <c r="AA15" s="128"/>
      <c r="AB15" s="128"/>
    </row>
    <row r="16" spans="1:35" s="9" customFormat="1" ht="21" customHeight="1" x14ac:dyDescent="0.2">
      <c r="B16" s="97" t="s">
        <v>42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row>
    <row r="17" spans="2:36" s="9" customFormat="1" ht="36" customHeight="1" x14ac:dyDescent="0.2">
      <c r="B17" s="98" t="s">
        <v>40</v>
      </c>
      <c r="C17" s="98"/>
      <c r="D17" s="98"/>
      <c r="E17" s="98"/>
      <c r="F17" s="99" t="s">
        <v>70</v>
      </c>
      <c r="G17" s="100"/>
      <c r="H17" s="100"/>
      <c r="I17" s="100"/>
      <c r="J17" s="100"/>
      <c r="K17" s="100"/>
      <c r="L17" s="100"/>
      <c r="M17" s="100"/>
      <c r="N17" s="100"/>
      <c r="O17" s="100"/>
      <c r="P17" s="100"/>
      <c r="Q17" s="100"/>
      <c r="R17" s="100"/>
      <c r="S17" s="100"/>
      <c r="T17" s="100"/>
      <c r="U17" s="100"/>
      <c r="V17" s="100"/>
      <c r="W17" s="100"/>
      <c r="X17" s="100"/>
      <c r="Y17" s="100"/>
      <c r="Z17" s="100"/>
      <c r="AA17" s="100"/>
      <c r="AB17" s="100"/>
    </row>
    <row r="18" spans="2:36" s="9" customFormat="1" ht="17.25" customHeight="1" x14ac:dyDescent="0.2">
      <c r="B18" s="98" t="s">
        <v>41</v>
      </c>
      <c r="C18" s="98"/>
      <c r="D18" s="98"/>
      <c r="E18" s="98"/>
      <c r="F18" s="99" t="s">
        <v>86</v>
      </c>
      <c r="G18" s="100"/>
      <c r="H18" s="100"/>
      <c r="I18" s="100"/>
      <c r="J18" s="100"/>
      <c r="K18" s="100"/>
      <c r="L18" s="100"/>
      <c r="M18" s="100"/>
      <c r="N18" s="100"/>
      <c r="O18" s="100"/>
      <c r="P18" s="100"/>
      <c r="Q18" s="100"/>
      <c r="R18" s="100"/>
      <c r="S18" s="100"/>
      <c r="T18" s="100"/>
      <c r="U18" s="100"/>
      <c r="V18" s="100"/>
      <c r="W18" s="100"/>
      <c r="X18" s="100"/>
      <c r="Y18" s="100"/>
      <c r="Z18" s="100"/>
      <c r="AA18" s="100"/>
      <c r="AB18" s="100"/>
    </row>
    <row r="19" spans="2:36" ht="19.149999999999999" customHeight="1" x14ac:dyDescent="0.2">
      <c r="B19" s="102"/>
      <c r="C19" s="105" t="s">
        <v>30</v>
      </c>
      <c r="D19" s="106"/>
      <c r="E19" s="107"/>
      <c r="F19" s="89" t="s">
        <v>31</v>
      </c>
      <c r="G19" s="112" t="s">
        <v>4</v>
      </c>
      <c r="H19" s="89" t="s">
        <v>3</v>
      </c>
      <c r="I19" s="88" t="s">
        <v>90</v>
      </c>
      <c r="J19" s="88" t="s">
        <v>32</v>
      </c>
      <c r="K19" s="90" t="s">
        <v>99</v>
      </c>
      <c r="L19" s="90"/>
      <c r="M19" s="90"/>
      <c r="N19" s="90"/>
      <c r="O19" s="90"/>
      <c r="P19" s="90"/>
      <c r="Q19" s="90"/>
      <c r="R19" s="90"/>
      <c r="S19" s="90"/>
      <c r="T19" s="90"/>
      <c r="U19" s="90"/>
      <c r="V19" s="90"/>
      <c r="W19" s="90"/>
      <c r="X19" s="90"/>
      <c r="Y19" s="90"/>
      <c r="Z19" s="90"/>
      <c r="AA19" s="90"/>
      <c r="AB19" s="90"/>
    </row>
    <row r="20" spans="2:36" ht="27" customHeight="1" x14ac:dyDescent="0.2">
      <c r="B20" s="103"/>
      <c r="C20" s="105"/>
      <c r="D20" s="106"/>
      <c r="E20" s="107"/>
      <c r="F20" s="111"/>
      <c r="G20" s="112"/>
      <c r="H20" s="111"/>
      <c r="I20" s="88"/>
      <c r="J20" s="88"/>
      <c r="K20" s="91"/>
      <c r="L20" s="91"/>
      <c r="M20" s="91"/>
      <c r="N20" s="91"/>
      <c r="O20" s="82"/>
      <c r="P20" s="91"/>
      <c r="Q20" s="91"/>
      <c r="R20" s="91"/>
      <c r="S20" s="91"/>
      <c r="T20" s="82"/>
      <c r="U20" s="91"/>
      <c r="V20" s="91"/>
      <c r="W20" s="91"/>
      <c r="X20" s="91"/>
      <c r="Y20" s="82"/>
      <c r="Z20" s="92" t="s">
        <v>5</v>
      </c>
      <c r="AA20" s="92"/>
      <c r="AB20" s="27"/>
    </row>
    <row r="21" spans="2:36" ht="48" x14ac:dyDescent="0.2">
      <c r="B21" s="104"/>
      <c r="C21" s="108"/>
      <c r="D21" s="109"/>
      <c r="E21" s="110"/>
      <c r="F21" s="111"/>
      <c r="G21" s="113"/>
      <c r="H21" s="111"/>
      <c r="I21" s="89"/>
      <c r="J21" s="89"/>
      <c r="K21" s="6" t="s">
        <v>6</v>
      </c>
      <c r="L21" s="6" t="s">
        <v>7</v>
      </c>
      <c r="M21" s="6" t="s">
        <v>8</v>
      </c>
      <c r="N21" s="6" t="s">
        <v>9</v>
      </c>
      <c r="O21" s="52" t="s">
        <v>38</v>
      </c>
      <c r="P21" s="7" t="s">
        <v>10</v>
      </c>
      <c r="Q21" s="7" t="s">
        <v>11</v>
      </c>
      <c r="R21" s="7" t="s">
        <v>12</v>
      </c>
      <c r="S21" s="78" t="s">
        <v>98</v>
      </c>
      <c r="T21" s="52" t="s">
        <v>36</v>
      </c>
      <c r="U21" s="73" t="s">
        <v>14</v>
      </c>
      <c r="V21" s="73" t="s">
        <v>15</v>
      </c>
      <c r="W21" s="73" t="s">
        <v>16</v>
      </c>
      <c r="X21" s="73" t="s">
        <v>17</v>
      </c>
      <c r="Y21" s="52" t="s">
        <v>37</v>
      </c>
      <c r="Z21" s="23" t="s">
        <v>33</v>
      </c>
      <c r="AA21" s="23" t="s">
        <v>34</v>
      </c>
      <c r="AB21" s="23" t="s">
        <v>84</v>
      </c>
      <c r="AC21" s="8"/>
    </row>
    <row r="22" spans="2:36" ht="81.75" customHeight="1" x14ac:dyDescent="0.2">
      <c r="B22" s="5"/>
      <c r="C22" s="144" t="s">
        <v>20</v>
      </c>
      <c r="D22" s="145"/>
      <c r="E22" s="145"/>
      <c r="F22" s="16"/>
      <c r="G22" s="11"/>
      <c r="H22" s="10" t="s">
        <v>18</v>
      </c>
      <c r="I22" s="18">
        <v>90888</v>
      </c>
      <c r="J22" s="18">
        <v>134090</v>
      </c>
      <c r="K22" s="18">
        <f>K24+K25+K26</f>
        <v>17885</v>
      </c>
      <c r="L22" s="18">
        <f>SUM(L24:L26)</f>
        <v>17934</v>
      </c>
      <c r="M22" s="18">
        <f>SUM(M24:M26)</f>
        <v>14991</v>
      </c>
      <c r="N22" s="18">
        <f>SUM(N24:N26)</f>
        <v>18863</v>
      </c>
      <c r="O22" s="53">
        <f>SUM(K22:N22)</f>
        <v>69673</v>
      </c>
      <c r="P22" s="18">
        <f>SUM(P24:P26)</f>
        <v>18277</v>
      </c>
      <c r="Q22" s="18">
        <f>SUM(Q24:Q26)</f>
        <v>15914</v>
      </c>
      <c r="R22" s="18">
        <f>SUM(R24:R26)</f>
        <v>16896</v>
      </c>
      <c r="S22" s="18">
        <f>SUM(S24:S26)</f>
        <v>12963</v>
      </c>
      <c r="T22" s="53">
        <f>SUM(P22:S22)</f>
        <v>64050</v>
      </c>
      <c r="U22" s="18"/>
      <c r="V22" s="18"/>
      <c r="W22" s="18"/>
      <c r="X22" s="18"/>
      <c r="Y22" s="53">
        <f>SUM(U22:X22)</f>
        <v>0</v>
      </c>
      <c r="Z22" s="15">
        <f>SUM(O22+T22+Y22)</f>
        <v>133723</v>
      </c>
      <c r="AA22" s="26">
        <f>SUM(Z22/J22)</f>
        <v>0.9972630322917444</v>
      </c>
      <c r="AB22" s="141">
        <v>42972820</v>
      </c>
    </row>
    <row r="23" spans="2:36" ht="81" customHeight="1" x14ac:dyDescent="0.2">
      <c r="B23" s="5"/>
      <c r="C23" s="83"/>
      <c r="D23" s="84"/>
      <c r="E23" s="85"/>
      <c r="F23" s="16" t="s">
        <v>21</v>
      </c>
      <c r="G23" s="11"/>
      <c r="H23" s="12" t="s">
        <v>18</v>
      </c>
      <c r="I23" s="18">
        <f>+I22</f>
        <v>90888</v>
      </c>
      <c r="J23" s="18">
        <f>+J22</f>
        <v>134090</v>
      </c>
      <c r="K23" s="18">
        <f>K24+K25+K26</f>
        <v>17885</v>
      </c>
      <c r="L23" s="18">
        <f>SUM(L24:L26)</f>
        <v>17934</v>
      </c>
      <c r="M23" s="18">
        <f>SUM(M24:M26)</f>
        <v>14991</v>
      </c>
      <c r="N23" s="15">
        <f>SUM(N24:N26)</f>
        <v>18863</v>
      </c>
      <c r="O23" s="53">
        <f t="shared" ref="O23:O44" si="0">SUM(K23:N23)</f>
        <v>69673</v>
      </c>
      <c r="P23" s="15">
        <f>+P22</f>
        <v>18277</v>
      </c>
      <c r="Q23" s="15">
        <f>SUM(Q24:Q26)</f>
        <v>15914</v>
      </c>
      <c r="R23" s="15">
        <f>SUM(R24:R26)</f>
        <v>16896</v>
      </c>
      <c r="S23" s="15">
        <f>SUM(S24:S26)</f>
        <v>12963</v>
      </c>
      <c r="T23" s="15">
        <f>SUM(T24:T26)</f>
        <v>65000</v>
      </c>
      <c r="U23" s="15"/>
      <c r="V23" s="15"/>
      <c r="W23" s="15"/>
      <c r="X23" s="15"/>
      <c r="Y23" s="53">
        <f t="shared" ref="Y23:Y44" si="1">SUM(U23:X23)</f>
        <v>0</v>
      </c>
      <c r="Z23" s="15">
        <f>SUM(O23+T23+Y23)</f>
        <v>134673</v>
      </c>
      <c r="AA23" s="26">
        <f t="shared" ref="AA23:AA26" si="2">SUM(Z23/J23)</f>
        <v>1.0043478260869565</v>
      </c>
      <c r="AB23" s="142"/>
    </row>
    <row r="24" spans="2:36" ht="38.25" x14ac:dyDescent="0.2">
      <c r="B24" s="5"/>
      <c r="C24" s="83"/>
      <c r="D24" s="84"/>
      <c r="E24" s="85"/>
      <c r="F24" s="21"/>
      <c r="G24" s="17" t="s">
        <v>88</v>
      </c>
      <c r="H24" s="12" t="s">
        <v>18</v>
      </c>
      <c r="I24" s="18">
        <v>25692</v>
      </c>
      <c r="J24" s="18">
        <v>30762</v>
      </c>
      <c r="K24" s="18">
        <f>1055+1453</f>
        <v>2508</v>
      </c>
      <c r="L24" s="15">
        <f>889+1332</f>
        <v>2221</v>
      </c>
      <c r="M24" s="15">
        <f>834+1212</f>
        <v>2046</v>
      </c>
      <c r="N24" s="15">
        <f>1095+1559</f>
        <v>2654</v>
      </c>
      <c r="O24" s="53">
        <f t="shared" si="0"/>
        <v>9429</v>
      </c>
      <c r="P24" s="15">
        <f>1133+1609</f>
        <v>2742</v>
      </c>
      <c r="Q24" s="15">
        <f>1022+1506</f>
        <v>2528</v>
      </c>
      <c r="R24" s="15">
        <f>1004+1509</f>
        <v>2513</v>
      </c>
      <c r="S24" s="15">
        <f>740+1173</f>
        <v>1913</v>
      </c>
      <c r="T24" s="53">
        <v>9600</v>
      </c>
      <c r="U24" s="15"/>
      <c r="V24" s="15"/>
      <c r="W24" s="15"/>
      <c r="X24" s="15"/>
      <c r="Y24" s="53">
        <f t="shared" si="1"/>
        <v>0</v>
      </c>
      <c r="Z24" s="15">
        <f>Y24+T24+O24</f>
        <v>19029</v>
      </c>
      <c r="AA24" s="26">
        <f t="shared" si="2"/>
        <v>0.61858786814901501</v>
      </c>
      <c r="AB24" s="142"/>
    </row>
    <row r="25" spans="2:36" ht="25.5" x14ac:dyDescent="0.2">
      <c r="B25" s="5"/>
      <c r="C25" s="83"/>
      <c r="D25" s="84"/>
      <c r="E25" s="85"/>
      <c r="F25" s="21"/>
      <c r="G25" s="17" t="s">
        <v>23</v>
      </c>
      <c r="H25" s="12" t="s">
        <v>18</v>
      </c>
      <c r="I25" s="18">
        <v>28598</v>
      </c>
      <c r="J25" s="18">
        <v>28598</v>
      </c>
      <c r="K25" s="15">
        <v>2970</v>
      </c>
      <c r="L25" s="15">
        <v>3119</v>
      </c>
      <c r="M25" s="15">
        <v>2463</v>
      </c>
      <c r="N25" s="15">
        <v>3064</v>
      </c>
      <c r="O25" s="53">
        <f t="shared" si="0"/>
        <v>11616</v>
      </c>
      <c r="P25" s="15">
        <v>2887</v>
      </c>
      <c r="Q25" s="15">
        <v>2479</v>
      </c>
      <c r="R25" s="15">
        <v>2705</v>
      </c>
      <c r="S25" s="15">
        <v>2384</v>
      </c>
      <c r="T25" s="53">
        <v>10400</v>
      </c>
      <c r="U25" s="15"/>
      <c r="V25" s="15"/>
      <c r="W25" s="15"/>
      <c r="X25" s="15"/>
      <c r="Y25" s="53">
        <f t="shared" si="1"/>
        <v>0</v>
      </c>
      <c r="Z25" s="15">
        <f t="shared" ref="Z25:Z26" si="3">Y25+T25+O25</f>
        <v>22016</v>
      </c>
      <c r="AA25" s="26">
        <f t="shared" si="2"/>
        <v>0.76984404503811454</v>
      </c>
      <c r="AB25" s="142"/>
    </row>
    <row r="26" spans="2:36" ht="39" thickBot="1" x14ac:dyDescent="0.25">
      <c r="B26" s="5"/>
      <c r="C26" s="83"/>
      <c r="D26" s="84"/>
      <c r="E26" s="85"/>
      <c r="F26" s="21"/>
      <c r="G26" s="71" t="s">
        <v>89</v>
      </c>
      <c r="H26" s="12" t="s">
        <v>18</v>
      </c>
      <c r="I26" s="72">
        <v>69661</v>
      </c>
      <c r="J26" s="72">
        <v>74730</v>
      </c>
      <c r="K26" s="15">
        <f>5558+6849</f>
        <v>12407</v>
      </c>
      <c r="L26" s="15">
        <f>5572+7022</f>
        <v>12594</v>
      </c>
      <c r="M26" s="15">
        <f>4647+5835</f>
        <v>10482</v>
      </c>
      <c r="N26" s="15">
        <f>5840+7305</f>
        <v>13145</v>
      </c>
      <c r="O26" s="53">
        <f t="shared" si="0"/>
        <v>48628</v>
      </c>
      <c r="P26" s="15">
        <f>5637+7011</f>
        <v>12648</v>
      </c>
      <c r="Q26" s="15">
        <f>4825+6082</f>
        <v>10907</v>
      </c>
      <c r="R26" s="15">
        <f>5147+6531</f>
        <v>11678</v>
      </c>
      <c r="S26" s="15">
        <v>8666</v>
      </c>
      <c r="T26" s="53">
        <v>45000</v>
      </c>
      <c r="U26" s="15"/>
      <c r="V26" s="15"/>
      <c r="W26" s="15"/>
      <c r="X26" s="15"/>
      <c r="Y26" s="53">
        <f t="shared" si="1"/>
        <v>0</v>
      </c>
      <c r="Z26" s="15">
        <f t="shared" si="3"/>
        <v>93628</v>
      </c>
      <c r="AA26" s="26">
        <f t="shared" si="2"/>
        <v>1.2528837147062759</v>
      </c>
      <c r="AB26" s="143"/>
    </row>
    <row r="27" spans="2:36" ht="15.75" thickTop="1" x14ac:dyDescent="0.2">
      <c r="B27" s="5"/>
      <c r="C27" s="79"/>
      <c r="D27" s="80"/>
      <c r="E27" s="81"/>
      <c r="F27" s="21"/>
      <c r="G27" s="17"/>
      <c r="H27" s="12"/>
      <c r="I27" s="18"/>
      <c r="J27" s="18"/>
      <c r="K27" s="15"/>
      <c r="L27" s="15"/>
      <c r="M27" s="15"/>
      <c r="N27" s="15"/>
      <c r="O27" s="53">
        <f t="shared" si="0"/>
        <v>0</v>
      </c>
      <c r="P27" s="15"/>
      <c r="Q27" s="15"/>
      <c r="R27" s="15"/>
      <c r="S27" s="15"/>
      <c r="T27" s="53">
        <f t="shared" ref="T27:T44" si="4">SUM(P27:S27)</f>
        <v>0</v>
      </c>
      <c r="U27" s="15"/>
      <c r="V27" s="15"/>
      <c r="W27" s="15"/>
      <c r="X27" s="15"/>
      <c r="Y27" s="53">
        <f t="shared" si="1"/>
        <v>0</v>
      </c>
      <c r="Z27" s="15"/>
      <c r="AA27" s="26"/>
      <c r="AB27" s="13"/>
    </row>
    <row r="28" spans="2:36" ht="15" x14ac:dyDescent="0.2">
      <c r="B28" s="5"/>
      <c r="C28" s="79"/>
      <c r="D28" s="80"/>
      <c r="E28" s="81"/>
      <c r="F28" s="21"/>
      <c r="G28" s="17"/>
      <c r="H28" s="12"/>
      <c r="I28" s="18"/>
      <c r="J28" s="18"/>
      <c r="K28" s="15"/>
      <c r="L28" s="15"/>
      <c r="M28" s="15"/>
      <c r="N28" s="15"/>
      <c r="O28" s="53">
        <f t="shared" si="0"/>
        <v>0</v>
      </c>
      <c r="P28" s="15"/>
      <c r="Q28" s="15"/>
      <c r="R28" s="15"/>
      <c r="S28" s="15"/>
      <c r="T28" s="53">
        <f t="shared" si="4"/>
        <v>0</v>
      </c>
      <c r="U28" s="15"/>
      <c r="V28" s="15"/>
      <c r="W28" s="15"/>
      <c r="X28" s="15"/>
      <c r="Y28" s="53">
        <f t="shared" si="1"/>
        <v>0</v>
      </c>
      <c r="Z28" s="15"/>
      <c r="AA28" s="26"/>
      <c r="AB28" s="13"/>
    </row>
    <row r="29" spans="2:36" ht="25.5" x14ac:dyDescent="0.2">
      <c r="B29" s="5"/>
      <c r="C29" s="83"/>
      <c r="D29" s="84"/>
      <c r="E29" s="85"/>
      <c r="F29" s="21"/>
      <c r="G29" s="41" t="s">
        <v>54</v>
      </c>
      <c r="H29" s="12" t="s">
        <v>19</v>
      </c>
      <c r="I29" s="42">
        <v>6</v>
      </c>
      <c r="J29" s="42">
        <v>6</v>
      </c>
      <c r="K29" s="42">
        <v>1</v>
      </c>
      <c r="L29" s="42">
        <v>1</v>
      </c>
      <c r="M29" s="42">
        <v>1</v>
      </c>
      <c r="N29" s="42">
        <v>4</v>
      </c>
      <c r="O29" s="53">
        <f t="shared" si="0"/>
        <v>7</v>
      </c>
      <c r="P29" s="42">
        <v>1</v>
      </c>
      <c r="Q29" s="42">
        <v>0</v>
      </c>
      <c r="R29" s="42">
        <v>0</v>
      </c>
      <c r="S29" s="42">
        <v>0</v>
      </c>
      <c r="T29" s="53">
        <f t="shared" si="4"/>
        <v>1</v>
      </c>
      <c r="U29" s="42"/>
      <c r="V29" s="42"/>
      <c r="W29" s="42"/>
      <c r="X29" s="42"/>
      <c r="Y29" s="53">
        <f t="shared" si="1"/>
        <v>0</v>
      </c>
      <c r="Z29" s="15">
        <f t="shared" ref="Z29:Z44" si="5">SUM(O29+T29+Y29)</f>
        <v>8</v>
      </c>
      <c r="AA29" s="26">
        <f>SUM(Z29/J29)</f>
        <v>1.3333333333333333</v>
      </c>
      <c r="AB29" s="13"/>
      <c r="AJ29" s="1"/>
    </row>
    <row r="30" spans="2:36" ht="25.5" x14ac:dyDescent="0.2">
      <c r="B30" s="5"/>
      <c r="C30" s="83"/>
      <c r="D30" s="84"/>
      <c r="E30" s="85"/>
      <c r="F30" s="21"/>
      <c r="G30" s="41" t="s">
        <v>25</v>
      </c>
      <c r="H30" s="12" t="s">
        <v>19</v>
      </c>
      <c r="I30" s="42">
        <v>6</v>
      </c>
      <c r="J30" s="42">
        <v>6</v>
      </c>
      <c r="K30" s="42">
        <v>0</v>
      </c>
      <c r="L30" s="42">
        <v>1</v>
      </c>
      <c r="M30" s="42">
        <v>0</v>
      </c>
      <c r="N30" s="42">
        <v>0</v>
      </c>
      <c r="O30" s="53">
        <f t="shared" si="0"/>
        <v>1</v>
      </c>
      <c r="P30" s="42">
        <v>0</v>
      </c>
      <c r="Q30" s="42">
        <v>5</v>
      </c>
      <c r="R30" s="42">
        <v>0</v>
      </c>
      <c r="S30" s="42">
        <v>0</v>
      </c>
      <c r="T30" s="53">
        <f t="shared" si="4"/>
        <v>5</v>
      </c>
      <c r="U30" s="42"/>
      <c r="V30" s="42"/>
      <c r="W30" s="42"/>
      <c r="X30" s="42"/>
      <c r="Y30" s="53">
        <f t="shared" si="1"/>
        <v>0</v>
      </c>
      <c r="Z30" s="15">
        <f t="shared" si="5"/>
        <v>6</v>
      </c>
      <c r="AA30" s="26">
        <f t="shared" ref="AA30:AA44" si="6">SUM(Z30/J30)</f>
        <v>1</v>
      </c>
      <c r="AB30" s="13"/>
      <c r="AJ30" s="1"/>
    </row>
    <row r="31" spans="2:36" ht="25.5" x14ac:dyDescent="0.2">
      <c r="B31" s="5"/>
      <c r="C31" s="83"/>
      <c r="D31" s="84"/>
      <c r="E31" s="85"/>
      <c r="F31" s="21"/>
      <c r="G31" s="41" t="s">
        <v>55</v>
      </c>
      <c r="H31" s="12" t="s">
        <v>19</v>
      </c>
      <c r="I31" s="42">
        <v>6564</v>
      </c>
      <c r="J31" s="42">
        <v>6564</v>
      </c>
      <c r="K31" s="42">
        <v>729</v>
      </c>
      <c r="L31" s="42">
        <v>673</v>
      </c>
      <c r="M31" s="42">
        <v>551</v>
      </c>
      <c r="N31" s="42">
        <v>738</v>
      </c>
      <c r="O31" s="53">
        <f t="shared" si="0"/>
        <v>2691</v>
      </c>
      <c r="P31" s="42">
        <v>821</v>
      </c>
      <c r="Q31" s="42">
        <v>694</v>
      </c>
      <c r="R31" s="42">
        <v>700</v>
      </c>
      <c r="S31" s="42">
        <v>598</v>
      </c>
      <c r="T31" s="53">
        <f t="shared" si="4"/>
        <v>2813</v>
      </c>
      <c r="U31" s="42"/>
      <c r="V31" s="42"/>
      <c r="W31" s="42"/>
      <c r="X31" s="42"/>
      <c r="Y31" s="53">
        <f t="shared" si="1"/>
        <v>0</v>
      </c>
      <c r="Z31" s="15">
        <f t="shared" si="5"/>
        <v>5504</v>
      </c>
      <c r="AA31" s="26">
        <f t="shared" si="6"/>
        <v>0.83851310176721516</v>
      </c>
      <c r="AB31" s="13"/>
      <c r="AJ31" s="1"/>
    </row>
    <row r="32" spans="2:36" ht="15" x14ac:dyDescent="0.2">
      <c r="B32" s="5"/>
      <c r="C32" s="83"/>
      <c r="D32" s="84"/>
      <c r="E32" s="85"/>
      <c r="F32" s="21"/>
      <c r="G32" s="41" t="s">
        <v>56</v>
      </c>
      <c r="H32" s="12" t="s">
        <v>19</v>
      </c>
      <c r="I32" s="42">
        <v>3900</v>
      </c>
      <c r="J32" s="42">
        <v>3900</v>
      </c>
      <c r="K32" s="42">
        <v>372</v>
      </c>
      <c r="L32" s="42">
        <v>367</v>
      </c>
      <c r="M32" s="42">
        <v>368</v>
      </c>
      <c r="N32" s="42">
        <v>429</v>
      </c>
      <c r="O32" s="53">
        <f t="shared" si="0"/>
        <v>1536</v>
      </c>
      <c r="P32" s="42">
        <v>420</v>
      </c>
      <c r="Q32" s="42">
        <v>432</v>
      </c>
      <c r="R32" s="42">
        <v>418</v>
      </c>
      <c r="S32" s="42">
        <v>296</v>
      </c>
      <c r="T32" s="53">
        <f t="shared" si="4"/>
        <v>1566</v>
      </c>
      <c r="U32" s="42"/>
      <c r="V32" s="42"/>
      <c r="W32" s="42"/>
      <c r="X32" s="42"/>
      <c r="Y32" s="53">
        <f t="shared" si="1"/>
        <v>0</v>
      </c>
      <c r="Z32" s="15">
        <f t="shared" si="5"/>
        <v>3102</v>
      </c>
      <c r="AA32" s="26">
        <f t="shared" si="6"/>
        <v>0.79538461538461536</v>
      </c>
      <c r="AB32" s="13"/>
      <c r="AJ32" s="1"/>
    </row>
    <row r="33" spans="2:36" ht="25.5" x14ac:dyDescent="0.2">
      <c r="B33" s="5"/>
      <c r="C33" s="83"/>
      <c r="D33" s="84"/>
      <c r="E33" s="85"/>
      <c r="F33" s="21"/>
      <c r="G33" s="41" t="s">
        <v>57</v>
      </c>
      <c r="H33" s="12" t="s">
        <v>19</v>
      </c>
      <c r="I33" s="42">
        <v>9312</v>
      </c>
      <c r="J33" s="42">
        <v>9312</v>
      </c>
      <c r="K33" s="42">
        <v>748</v>
      </c>
      <c r="L33" s="42">
        <v>709</v>
      </c>
      <c r="M33" s="42">
        <v>617</v>
      </c>
      <c r="N33" s="42">
        <v>822</v>
      </c>
      <c r="O33" s="53">
        <f t="shared" si="0"/>
        <v>2896</v>
      </c>
      <c r="P33" s="42">
        <v>871</v>
      </c>
      <c r="Q33" s="42">
        <v>807</v>
      </c>
      <c r="R33" s="42">
        <v>875</v>
      </c>
      <c r="S33" s="42">
        <v>697</v>
      </c>
      <c r="T33" s="53">
        <f t="shared" si="4"/>
        <v>3250</v>
      </c>
      <c r="U33" s="42"/>
      <c r="V33" s="42"/>
      <c r="W33" s="42"/>
      <c r="X33" s="42"/>
      <c r="Y33" s="53">
        <f t="shared" si="1"/>
        <v>0</v>
      </c>
      <c r="Z33" s="15">
        <f t="shared" si="5"/>
        <v>6146</v>
      </c>
      <c r="AA33" s="26">
        <f t="shared" si="6"/>
        <v>0.66000859106529208</v>
      </c>
      <c r="AB33" s="13"/>
      <c r="AJ33" s="1"/>
    </row>
    <row r="34" spans="2:36" ht="25.5" x14ac:dyDescent="0.2">
      <c r="B34" s="5"/>
      <c r="C34" s="83"/>
      <c r="D34" s="84"/>
      <c r="E34" s="85"/>
      <c r="F34" s="21"/>
      <c r="G34" s="41" t="s">
        <v>58</v>
      </c>
      <c r="H34" s="12" t="s">
        <v>19</v>
      </c>
      <c r="I34" s="42">
        <v>16164</v>
      </c>
      <c r="J34" s="42">
        <v>16164</v>
      </c>
      <c r="K34" s="42">
        <v>1464</v>
      </c>
      <c r="L34" s="42">
        <v>1469</v>
      </c>
      <c r="M34" s="42">
        <v>1265</v>
      </c>
      <c r="N34" s="42">
        <v>1637</v>
      </c>
      <c r="O34" s="53">
        <f t="shared" si="0"/>
        <v>5835</v>
      </c>
      <c r="P34" s="42">
        <v>1541</v>
      </c>
      <c r="Q34" s="42">
        <v>1372</v>
      </c>
      <c r="R34" s="42">
        <v>1534</v>
      </c>
      <c r="S34" s="42">
        <v>1303</v>
      </c>
      <c r="T34" s="53">
        <f t="shared" si="4"/>
        <v>5750</v>
      </c>
      <c r="U34" s="42"/>
      <c r="V34" s="42"/>
      <c r="W34" s="42"/>
      <c r="X34" s="42"/>
      <c r="Y34" s="53">
        <f t="shared" si="1"/>
        <v>0</v>
      </c>
      <c r="Z34" s="15">
        <f t="shared" si="5"/>
        <v>11585</v>
      </c>
      <c r="AA34" s="26">
        <f t="shared" si="6"/>
        <v>0.71671615936649347</v>
      </c>
      <c r="AB34" s="13"/>
      <c r="AJ34" s="1"/>
    </row>
    <row r="35" spans="2:36" ht="25.5" x14ac:dyDescent="0.2">
      <c r="B35" s="5"/>
      <c r="C35" s="83"/>
      <c r="D35" s="84"/>
      <c r="E35" s="85"/>
      <c r="F35" s="21"/>
      <c r="G35" s="41" t="s">
        <v>59</v>
      </c>
      <c r="H35" s="12" t="s">
        <v>19</v>
      </c>
      <c r="I35" s="42">
        <v>36060</v>
      </c>
      <c r="J35" s="42">
        <v>36060</v>
      </c>
      <c r="K35" s="42">
        <v>3901</v>
      </c>
      <c r="L35" s="42">
        <v>3794</v>
      </c>
      <c r="M35" s="42">
        <v>3397</v>
      </c>
      <c r="N35" s="42">
        <v>4168</v>
      </c>
      <c r="O35" s="53">
        <f t="shared" si="0"/>
        <v>15260</v>
      </c>
      <c r="P35" s="42">
        <v>4363</v>
      </c>
      <c r="Q35" s="42">
        <v>3867</v>
      </c>
      <c r="R35" s="42">
        <v>4004</v>
      </c>
      <c r="S35" s="42">
        <v>2917</v>
      </c>
      <c r="T35" s="53">
        <f t="shared" si="4"/>
        <v>15151</v>
      </c>
      <c r="U35" s="42"/>
      <c r="V35" s="42"/>
      <c r="W35" s="42"/>
      <c r="X35" s="42"/>
      <c r="Y35" s="53">
        <f t="shared" si="1"/>
        <v>0</v>
      </c>
      <c r="Z35" s="15">
        <f t="shared" si="5"/>
        <v>30411</v>
      </c>
      <c r="AA35" s="26">
        <f t="shared" si="6"/>
        <v>0.84334442595673875</v>
      </c>
      <c r="AB35" s="13"/>
      <c r="AJ35" s="1"/>
    </row>
    <row r="36" spans="2:36" ht="25.5" x14ac:dyDescent="0.2">
      <c r="B36" s="5"/>
      <c r="C36" s="83"/>
      <c r="D36" s="84"/>
      <c r="E36" s="85"/>
      <c r="F36" s="21"/>
      <c r="G36" s="41" t="s">
        <v>60</v>
      </c>
      <c r="H36" s="12" t="s">
        <v>19</v>
      </c>
      <c r="I36" s="42">
        <v>6444</v>
      </c>
      <c r="J36" s="42">
        <v>6444</v>
      </c>
      <c r="K36" s="42">
        <v>576</v>
      </c>
      <c r="L36" s="42">
        <v>545</v>
      </c>
      <c r="M36" s="42">
        <v>400</v>
      </c>
      <c r="N36" s="42">
        <v>569</v>
      </c>
      <c r="O36" s="53">
        <f t="shared" si="0"/>
        <v>2090</v>
      </c>
      <c r="P36" s="42">
        <v>566</v>
      </c>
      <c r="Q36" s="42">
        <v>470</v>
      </c>
      <c r="R36" s="42">
        <v>522</v>
      </c>
      <c r="S36" s="42">
        <v>470</v>
      </c>
      <c r="T36" s="53">
        <f t="shared" si="4"/>
        <v>2028</v>
      </c>
      <c r="U36" s="42"/>
      <c r="V36" s="42"/>
      <c r="W36" s="42"/>
      <c r="X36" s="42"/>
      <c r="Y36" s="53">
        <f t="shared" si="1"/>
        <v>0</v>
      </c>
      <c r="Z36" s="15">
        <f t="shared" si="5"/>
        <v>4118</v>
      </c>
      <c r="AA36" s="26">
        <f t="shared" si="6"/>
        <v>0.63904407200496582</v>
      </c>
      <c r="AB36" s="13"/>
      <c r="AJ36" s="1"/>
    </row>
    <row r="37" spans="2:36" ht="15" x14ac:dyDescent="0.2">
      <c r="B37" s="5"/>
      <c r="C37" s="83"/>
      <c r="D37" s="84"/>
      <c r="E37" s="85"/>
      <c r="F37" s="21"/>
      <c r="G37" s="41" t="s">
        <v>61</v>
      </c>
      <c r="H37" s="12" t="s">
        <v>19</v>
      </c>
      <c r="I37" s="42">
        <v>3936</v>
      </c>
      <c r="J37" s="42">
        <v>3936</v>
      </c>
      <c r="K37" s="42">
        <v>413</v>
      </c>
      <c r="L37" s="42">
        <v>472</v>
      </c>
      <c r="M37" s="42">
        <v>312</v>
      </c>
      <c r="N37" s="42">
        <v>414</v>
      </c>
      <c r="O37" s="53">
        <f t="shared" si="0"/>
        <v>1611</v>
      </c>
      <c r="P37" s="42">
        <v>464</v>
      </c>
      <c r="Q37" s="42">
        <v>417</v>
      </c>
      <c r="R37" s="42">
        <v>390</v>
      </c>
      <c r="S37" s="42">
        <v>278</v>
      </c>
      <c r="T37" s="53">
        <f t="shared" si="4"/>
        <v>1549</v>
      </c>
      <c r="U37" s="42"/>
      <c r="V37" s="42"/>
      <c r="W37" s="42"/>
      <c r="X37" s="42"/>
      <c r="Y37" s="53">
        <f t="shared" si="1"/>
        <v>0</v>
      </c>
      <c r="Z37" s="15">
        <f t="shared" si="5"/>
        <v>3160</v>
      </c>
      <c r="AA37" s="26">
        <f t="shared" si="6"/>
        <v>0.80284552845528456</v>
      </c>
      <c r="AB37" s="13"/>
      <c r="AJ37" s="1"/>
    </row>
    <row r="38" spans="2:36" ht="25.5" x14ac:dyDescent="0.2">
      <c r="B38" s="5"/>
      <c r="C38" s="83"/>
      <c r="D38" s="84"/>
      <c r="E38" s="85"/>
      <c r="F38" s="21"/>
      <c r="G38" s="41" t="s">
        <v>62</v>
      </c>
      <c r="H38" s="12" t="s">
        <v>19</v>
      </c>
      <c r="I38" s="42">
        <v>24984</v>
      </c>
      <c r="J38" s="42">
        <v>24984</v>
      </c>
      <c r="K38" s="42">
        <v>2650</v>
      </c>
      <c r="L38" s="42">
        <v>2710</v>
      </c>
      <c r="M38" s="42">
        <v>2420</v>
      </c>
      <c r="N38" s="42">
        <v>2901</v>
      </c>
      <c r="O38" s="53">
        <f t="shared" si="0"/>
        <v>10681</v>
      </c>
      <c r="P38" s="42">
        <v>2902</v>
      </c>
      <c r="Q38" s="42">
        <v>2586</v>
      </c>
      <c r="R38" s="42">
        <v>2891</v>
      </c>
      <c r="S38" s="42">
        <v>2000</v>
      </c>
      <c r="T38" s="53">
        <f t="shared" si="4"/>
        <v>10379</v>
      </c>
      <c r="U38" s="42"/>
      <c r="V38" s="42"/>
      <c r="W38" s="42"/>
      <c r="X38" s="42"/>
      <c r="Y38" s="53">
        <f t="shared" si="1"/>
        <v>0</v>
      </c>
      <c r="Z38" s="15">
        <f t="shared" si="5"/>
        <v>21060</v>
      </c>
      <c r="AA38" s="26">
        <f t="shared" si="6"/>
        <v>0.84293948126801155</v>
      </c>
      <c r="AB38" s="13"/>
      <c r="AJ38" s="1"/>
    </row>
    <row r="39" spans="2:36" ht="15" x14ac:dyDescent="0.2">
      <c r="B39" s="5"/>
      <c r="C39" s="83"/>
      <c r="D39" s="84"/>
      <c r="E39" s="85"/>
      <c r="F39" s="21"/>
      <c r="G39" s="41" t="s">
        <v>63</v>
      </c>
      <c r="H39" s="12" t="s">
        <v>19</v>
      </c>
      <c r="I39" s="42">
        <v>1872</v>
      </c>
      <c r="J39" s="42">
        <v>1872</v>
      </c>
      <c r="K39" s="42">
        <v>100</v>
      </c>
      <c r="L39" s="42">
        <v>184</v>
      </c>
      <c r="M39" s="42">
        <v>104</v>
      </c>
      <c r="N39" s="42">
        <v>109</v>
      </c>
      <c r="O39" s="53">
        <f t="shared" si="0"/>
        <v>497</v>
      </c>
      <c r="P39" s="42">
        <v>92</v>
      </c>
      <c r="Q39" s="42">
        <v>151</v>
      </c>
      <c r="R39" s="42">
        <v>124</v>
      </c>
      <c r="S39" s="42">
        <v>119</v>
      </c>
      <c r="T39" s="53">
        <f t="shared" si="4"/>
        <v>486</v>
      </c>
      <c r="U39" s="42"/>
      <c r="V39" s="42"/>
      <c r="W39" s="42"/>
      <c r="X39" s="42"/>
      <c r="Y39" s="53">
        <f t="shared" si="1"/>
        <v>0</v>
      </c>
      <c r="Z39" s="15">
        <f t="shared" si="5"/>
        <v>983</v>
      </c>
      <c r="AA39" s="26">
        <f t="shared" si="6"/>
        <v>0.52510683760683763</v>
      </c>
      <c r="AB39" s="13"/>
      <c r="AJ39" s="1"/>
    </row>
    <row r="40" spans="2:36" ht="15" x14ac:dyDescent="0.2">
      <c r="B40" s="5"/>
      <c r="C40" s="83"/>
      <c r="D40" s="84"/>
      <c r="E40" s="85"/>
      <c r="F40" s="21"/>
      <c r="G40" s="41" t="s">
        <v>26</v>
      </c>
      <c r="H40" s="12" t="s">
        <v>19</v>
      </c>
      <c r="I40" s="42">
        <v>252</v>
      </c>
      <c r="J40" s="42">
        <v>252</v>
      </c>
      <c r="K40" s="42">
        <v>12</v>
      </c>
      <c r="L40" s="42">
        <v>13</v>
      </c>
      <c r="M40" s="42">
        <v>8</v>
      </c>
      <c r="N40" s="42">
        <v>10</v>
      </c>
      <c r="O40" s="53">
        <f t="shared" si="0"/>
        <v>43</v>
      </c>
      <c r="P40" s="42">
        <v>7</v>
      </c>
      <c r="Q40" s="42">
        <v>9</v>
      </c>
      <c r="R40" s="42">
        <v>6</v>
      </c>
      <c r="S40" s="42">
        <v>3</v>
      </c>
      <c r="T40" s="53">
        <f t="shared" si="4"/>
        <v>25</v>
      </c>
      <c r="U40" s="42"/>
      <c r="V40" s="42"/>
      <c r="W40" s="42"/>
      <c r="X40" s="42"/>
      <c r="Y40" s="53">
        <f t="shared" si="1"/>
        <v>0</v>
      </c>
      <c r="Z40" s="15">
        <f t="shared" si="5"/>
        <v>68</v>
      </c>
      <c r="AA40" s="26">
        <f t="shared" si="6"/>
        <v>0.26984126984126983</v>
      </c>
      <c r="AB40" s="13"/>
      <c r="AJ40" s="1"/>
    </row>
    <row r="41" spans="2:36" ht="15" x14ac:dyDescent="0.2">
      <c r="B41" s="5"/>
      <c r="C41" s="83"/>
      <c r="D41" s="84"/>
      <c r="E41" s="85"/>
      <c r="F41" s="21"/>
      <c r="G41" s="17" t="s">
        <v>64</v>
      </c>
      <c r="H41" s="12" t="s">
        <v>19</v>
      </c>
      <c r="I41" s="42">
        <v>113760</v>
      </c>
      <c r="J41" s="42">
        <v>113760</v>
      </c>
      <c r="K41" s="42">
        <v>9340</v>
      </c>
      <c r="L41" s="42">
        <v>9365</v>
      </c>
      <c r="M41" s="42">
        <v>7751</v>
      </c>
      <c r="N41" s="42">
        <v>10009</v>
      </c>
      <c r="O41" s="53">
        <f t="shared" si="0"/>
        <v>36465</v>
      </c>
      <c r="P41" s="42">
        <v>10348</v>
      </c>
      <c r="Q41" s="42">
        <v>9181</v>
      </c>
      <c r="R41" s="42">
        <v>8874</v>
      </c>
      <c r="S41" s="42">
        <v>7302</v>
      </c>
      <c r="T41" s="53">
        <f t="shared" si="4"/>
        <v>35705</v>
      </c>
      <c r="U41" s="42"/>
      <c r="V41" s="42"/>
      <c r="W41" s="42"/>
      <c r="X41" s="42"/>
      <c r="Y41" s="53">
        <f t="shared" si="1"/>
        <v>0</v>
      </c>
      <c r="Z41" s="15">
        <f t="shared" si="5"/>
        <v>72170</v>
      </c>
      <c r="AA41" s="26">
        <f t="shared" si="6"/>
        <v>0.63440576652601965</v>
      </c>
      <c r="AB41" s="13"/>
      <c r="AJ41" s="1"/>
    </row>
    <row r="42" spans="2:36" ht="15" x14ac:dyDescent="0.2">
      <c r="B42" s="5"/>
      <c r="C42" s="83"/>
      <c r="D42" s="84"/>
      <c r="E42" s="85"/>
      <c r="F42" s="21"/>
      <c r="G42" s="45" t="s">
        <v>65</v>
      </c>
      <c r="H42" s="12" t="s">
        <v>66</v>
      </c>
      <c r="I42" s="42">
        <v>35592</v>
      </c>
      <c r="J42" s="42">
        <v>35592</v>
      </c>
      <c r="K42" s="42">
        <v>3369</v>
      </c>
      <c r="L42" s="42">
        <v>3259</v>
      </c>
      <c r="M42" s="42">
        <v>2795</v>
      </c>
      <c r="N42" s="42">
        <v>3693</v>
      </c>
      <c r="O42" s="53">
        <f t="shared" si="0"/>
        <v>13116</v>
      </c>
      <c r="P42" s="42">
        <v>3524</v>
      </c>
      <c r="Q42" s="42">
        <v>3337</v>
      </c>
      <c r="R42" s="42">
        <v>3486</v>
      </c>
      <c r="S42" s="42">
        <v>3011</v>
      </c>
      <c r="T42" s="53">
        <f t="shared" si="4"/>
        <v>13358</v>
      </c>
      <c r="U42" s="42"/>
      <c r="V42" s="42"/>
      <c r="W42" s="42"/>
      <c r="X42" s="42"/>
      <c r="Y42" s="53">
        <f t="shared" si="1"/>
        <v>0</v>
      </c>
      <c r="Z42" s="15">
        <f t="shared" si="5"/>
        <v>26474</v>
      </c>
      <c r="AA42" s="26">
        <f t="shared" si="6"/>
        <v>0.74381883569341423</v>
      </c>
      <c r="AB42" s="13"/>
      <c r="AJ42" s="1"/>
    </row>
    <row r="43" spans="2:36" ht="25.5" x14ac:dyDescent="0.2">
      <c r="B43" s="5"/>
      <c r="C43" s="83"/>
      <c r="D43" s="84"/>
      <c r="E43" s="85"/>
      <c r="F43" s="21"/>
      <c r="G43" s="45" t="s">
        <v>67</v>
      </c>
      <c r="H43" s="12" t="s">
        <v>19</v>
      </c>
      <c r="I43" s="42">
        <v>48</v>
      </c>
      <c r="J43" s="42">
        <v>48</v>
      </c>
      <c r="K43" s="42">
        <v>12</v>
      </c>
      <c r="L43" s="42">
        <v>7</v>
      </c>
      <c r="M43" s="42">
        <v>4</v>
      </c>
      <c r="N43" s="42">
        <v>5</v>
      </c>
      <c r="O43" s="53">
        <f t="shared" si="0"/>
        <v>28</v>
      </c>
      <c r="P43" s="42">
        <v>0</v>
      </c>
      <c r="Q43" s="42">
        <v>3</v>
      </c>
      <c r="R43" s="42">
        <v>2</v>
      </c>
      <c r="S43" s="42">
        <v>6</v>
      </c>
      <c r="T43" s="53">
        <f t="shared" si="4"/>
        <v>11</v>
      </c>
      <c r="U43" s="42"/>
      <c r="V43" s="42"/>
      <c r="W43" s="42"/>
      <c r="X43" s="42"/>
      <c r="Y43" s="53">
        <f t="shared" si="1"/>
        <v>0</v>
      </c>
      <c r="Z43" s="15">
        <f t="shared" si="5"/>
        <v>39</v>
      </c>
      <c r="AA43" s="26">
        <f t="shared" si="6"/>
        <v>0.8125</v>
      </c>
      <c r="AB43" s="13"/>
      <c r="AJ43" s="1"/>
    </row>
    <row r="44" spans="2:36" ht="38.25" x14ac:dyDescent="0.2">
      <c r="B44" s="46"/>
      <c r="C44" s="79"/>
      <c r="D44" s="80"/>
      <c r="E44" s="81"/>
      <c r="F44" s="21"/>
      <c r="G44" s="47" t="s">
        <v>69</v>
      </c>
      <c r="H44" s="48" t="s">
        <v>66</v>
      </c>
      <c r="I44" s="42">
        <v>34740</v>
      </c>
      <c r="J44" s="42">
        <v>34740</v>
      </c>
      <c r="K44" s="49">
        <v>3303</v>
      </c>
      <c r="L44" s="49">
        <v>3270</v>
      </c>
      <c r="M44" s="49">
        <v>2872</v>
      </c>
      <c r="N44" s="49">
        <v>3811</v>
      </c>
      <c r="O44" s="53">
        <f t="shared" si="0"/>
        <v>13256</v>
      </c>
      <c r="P44" s="49">
        <v>3524</v>
      </c>
      <c r="Q44" s="49">
        <v>3335</v>
      </c>
      <c r="R44" s="49">
        <v>3480</v>
      </c>
      <c r="S44" s="49">
        <v>3011</v>
      </c>
      <c r="T44" s="53">
        <f t="shared" si="4"/>
        <v>13350</v>
      </c>
      <c r="U44" s="49"/>
      <c r="V44" s="49"/>
      <c r="W44" s="42"/>
      <c r="X44" s="49"/>
      <c r="Y44" s="53">
        <f t="shared" si="1"/>
        <v>0</v>
      </c>
      <c r="Z44" s="15">
        <f t="shared" si="5"/>
        <v>26606</v>
      </c>
      <c r="AA44" s="26">
        <f t="shared" si="6"/>
        <v>0.76586067933218194</v>
      </c>
      <c r="AB44" s="13"/>
      <c r="AJ44" s="1"/>
    </row>
    <row r="45" spans="2:36" ht="18.75" x14ac:dyDescent="0.3">
      <c r="B45" s="25"/>
      <c r="C45" s="86" t="s">
        <v>95</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2"/>
      <c r="AD45" s="2"/>
      <c r="AE45" s="2"/>
      <c r="AF45" s="2"/>
      <c r="AG45" s="2"/>
      <c r="AH45" s="2"/>
      <c r="AI45" s="2"/>
    </row>
    <row r="46" spans="2:36" x14ac:dyDescent="0.2">
      <c r="AB46" s="19"/>
    </row>
    <row r="97" hidden="1" x14ac:dyDescent="0.2"/>
  </sheetData>
  <mergeCells count="59">
    <mergeCell ref="C41:E41"/>
    <mergeCell ref="C42:E42"/>
    <mergeCell ref="C43:E43"/>
    <mergeCell ref="C45:AB45"/>
    <mergeCell ref="C35:E35"/>
    <mergeCell ref="C36:E36"/>
    <mergeCell ref="C37:E37"/>
    <mergeCell ref="C38:E38"/>
    <mergeCell ref="C39:E39"/>
    <mergeCell ref="C40:E40"/>
    <mergeCell ref="C34:E34"/>
    <mergeCell ref="C22:E22"/>
    <mergeCell ref="AB22:AB26"/>
    <mergeCell ref="C23:E23"/>
    <mergeCell ref="C24:E24"/>
    <mergeCell ref="C25:E25"/>
    <mergeCell ref="C26:E26"/>
    <mergeCell ref="C29:E29"/>
    <mergeCell ref="C30:E30"/>
    <mergeCell ref="C31:E31"/>
    <mergeCell ref="C32:E32"/>
    <mergeCell ref="C33:E33"/>
    <mergeCell ref="I19:I21"/>
    <mergeCell ref="J19:J21"/>
    <mergeCell ref="K19:AB19"/>
    <mergeCell ref="K20:N20"/>
    <mergeCell ref="P20:S20"/>
    <mergeCell ref="U20:X20"/>
    <mergeCell ref="Z20:AA20"/>
    <mergeCell ref="B16:AB16"/>
    <mergeCell ref="B17:E17"/>
    <mergeCell ref="F17:AB17"/>
    <mergeCell ref="B18:E18"/>
    <mergeCell ref="F18:AB18"/>
    <mergeCell ref="B19:B21"/>
    <mergeCell ref="C19:E21"/>
    <mergeCell ref="F19:F21"/>
    <mergeCell ref="G19:G21"/>
    <mergeCell ref="H19:H21"/>
    <mergeCell ref="B15:E15"/>
    <mergeCell ref="F15:AB15"/>
    <mergeCell ref="B9:D9"/>
    <mergeCell ref="E9:AB9"/>
    <mergeCell ref="B10:D10"/>
    <mergeCell ref="E10:AB10"/>
    <mergeCell ref="B11:D11"/>
    <mergeCell ref="E11:AB11"/>
    <mergeCell ref="B12:AB12"/>
    <mergeCell ref="B13:E13"/>
    <mergeCell ref="F13:AB13"/>
    <mergeCell ref="B14:E14"/>
    <mergeCell ref="F14:AB14"/>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2024&amp;R&amp;P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2024</vt:lpstr>
      <vt:lpstr>EJECUCION</vt:lpstr>
      <vt:lpstr>REPROGRAMACIÓN</vt:lpstr>
      <vt:lpstr>EJECUCION!Área_de_impresión</vt:lpstr>
      <vt:lpstr>'MATRIZ 2022'!Área_de_impresión</vt:lpstr>
      <vt:lpstr>'MATRIZ 2024'!Área_de_impresión</vt:lpstr>
      <vt:lpstr>REPROGRAMACIÓN!Área_de_impresión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Mirian Perez Paredes</cp:lastModifiedBy>
  <cp:lastPrinted>2024-07-31T15:04:38Z</cp:lastPrinted>
  <dcterms:created xsi:type="dcterms:W3CDTF">2019-01-08T14:24:40Z</dcterms:created>
  <dcterms:modified xsi:type="dcterms:W3CDTF">2024-09-11T16:24:28Z</dcterms:modified>
</cp:coreProperties>
</file>